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Cuenta Publica2\2020\Anual 2020\0 GENERACION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1600" windowHeight="8730" firstSheet="19" activeTab="21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b)'!$A$67</definedName>
    <definedName name="GASTO_E_FIN">'Formato 6 b)'!$A$84</definedName>
    <definedName name="GASTO_E_FIN_01">'Formato 6 b)'!$B$84</definedName>
    <definedName name="GASTO_E_FIN_02">'Formato 6 b)'!$C$84</definedName>
    <definedName name="GASTO_E_FIN_03">'Formato 6 b)'!$D$84</definedName>
    <definedName name="GASTO_E_FIN_04">'Formato 6 b)'!$E$84</definedName>
    <definedName name="GASTO_E_FIN_05">'Formato 6 b)'!$F$84</definedName>
    <definedName name="GASTO_E_FIN_06">'Formato 6 b)'!$G$84</definedName>
    <definedName name="GASTO_E_T1">'Formato 6 b)'!$B$67</definedName>
    <definedName name="GASTO_E_T2">'Formato 6 b)'!$C$67</definedName>
    <definedName name="GASTO_E_T3">'Formato 6 b)'!$D$67</definedName>
    <definedName name="GASTO_E_T4">'Formato 6 b)'!$E$67</definedName>
    <definedName name="GASTO_E_T5">'Formato 6 b)'!$F$67</definedName>
    <definedName name="GASTO_E_T6">'Formato 6 b)'!$G$67</definedName>
    <definedName name="GASTO_NE">'Formato 6 b)'!$A$9</definedName>
    <definedName name="GASTO_NE_FIN">'Formato 6 b)'!$A$66</definedName>
    <definedName name="GASTO_NE_FIN_01">'Formato 6 b)'!$B$66</definedName>
    <definedName name="GASTO_NE_FIN_02">'Formato 6 b)'!$C$66</definedName>
    <definedName name="GASTO_NE_FIN_03">'Formato 6 b)'!$D$66</definedName>
    <definedName name="GASTO_NE_FIN_04">'Formato 6 b)'!$E$66</definedName>
    <definedName name="GASTO_NE_FIN_05">'Formato 6 b)'!$F$66</definedName>
    <definedName name="GASTO_NE_FIN_06">'Formato 6 b)'!$G$66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b)'!$B$85</definedName>
    <definedName name="TOTAL_E_T2">'Formato 6 b)'!$C$85</definedName>
    <definedName name="TOTAL_E_T3">'Formato 6 b)'!$D$85</definedName>
    <definedName name="TOTAL_E_T4">'Formato 6 b)'!$E$85</definedName>
    <definedName name="TOTAL_E_T5">'Formato 6 b)'!$F$85</definedName>
    <definedName name="TOTAL_E_T6">'Formato 6 b)'!$G$85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6" l="1"/>
  <c r="G96" i="6"/>
  <c r="G95" i="6"/>
  <c r="G94" i="6"/>
  <c r="G92" i="6"/>
  <c r="G91" i="6"/>
  <c r="G90" i="6"/>
  <c r="G89" i="6"/>
  <c r="G88" i="6"/>
  <c r="G87" i="6"/>
  <c r="G86" i="6"/>
  <c r="G59" i="6"/>
  <c r="D49" i="5"/>
  <c r="D35" i="5" l="1"/>
  <c r="D34" i="5"/>
  <c r="D33" i="5"/>
  <c r="D32" i="5"/>
  <c r="D31" i="5"/>
  <c r="D30" i="5"/>
  <c r="D29" i="5"/>
  <c r="D27" i="5"/>
  <c r="D26" i="5"/>
  <c r="D25" i="5"/>
  <c r="D24" i="5"/>
  <c r="D23" i="5"/>
  <c r="D22" i="5"/>
  <c r="D21" i="5"/>
  <c r="D20" i="5"/>
  <c r="D19" i="5"/>
  <c r="D18" i="5"/>
  <c r="D17" i="5"/>
  <c r="D14" i="2"/>
  <c r="D36" i="5" l="1"/>
  <c r="D17" i="4" l="1"/>
  <c r="B11" i="4"/>
  <c r="B12" i="9" l="1"/>
  <c r="G60" i="8"/>
  <c r="G59" i="8"/>
  <c r="G58" i="8"/>
  <c r="G56" i="8"/>
  <c r="G54" i="8"/>
  <c r="G52" i="8"/>
  <c r="G51" i="8"/>
  <c r="G50" i="8"/>
  <c r="G49" i="8"/>
  <c r="G48" i="8"/>
  <c r="G47" i="8"/>
  <c r="G46" i="8"/>
  <c r="G45" i="8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E103" i="6" l="1"/>
  <c r="F85" i="6"/>
  <c r="G157" i="6"/>
  <c r="G156" i="6"/>
  <c r="G155" i="6"/>
  <c r="G154" i="6"/>
  <c r="G153" i="6"/>
  <c r="G152" i="6"/>
  <c r="G151" i="6"/>
  <c r="G149" i="6"/>
  <c r="G148" i="6"/>
  <c r="G147" i="6"/>
  <c r="G145" i="6"/>
  <c r="G144" i="6"/>
  <c r="G143" i="6"/>
  <c r="G142" i="6"/>
  <c r="G141" i="6"/>
  <c r="G140" i="6"/>
  <c r="G139" i="6"/>
  <c r="G138" i="6"/>
  <c r="G136" i="6"/>
  <c r="G135" i="6"/>
  <c r="G134" i="6"/>
  <c r="G132" i="6"/>
  <c r="G131" i="6"/>
  <c r="G130" i="6"/>
  <c r="G129" i="6"/>
  <c r="G128" i="6"/>
  <c r="G127" i="6"/>
  <c r="G126" i="6"/>
  <c r="G125" i="6"/>
  <c r="G124" i="6"/>
  <c r="G122" i="6"/>
  <c r="G121" i="6"/>
  <c r="G120" i="6"/>
  <c r="G119" i="6"/>
  <c r="G118" i="6"/>
  <c r="G117" i="6"/>
  <c r="G116" i="6"/>
  <c r="G115" i="6"/>
  <c r="G114" i="6"/>
  <c r="G112" i="6"/>
  <c r="G111" i="6"/>
  <c r="G110" i="6"/>
  <c r="G109" i="6"/>
  <c r="G108" i="6"/>
  <c r="G107" i="6"/>
  <c r="G106" i="6"/>
  <c r="G105" i="6"/>
  <c r="G104" i="6"/>
  <c r="G102" i="6"/>
  <c r="G101" i="6"/>
  <c r="G100" i="6"/>
  <c r="G99" i="6"/>
  <c r="G98" i="6"/>
  <c r="G82" i="6"/>
  <c r="G81" i="6"/>
  <c r="G80" i="6"/>
  <c r="G79" i="6"/>
  <c r="G78" i="6"/>
  <c r="G61" i="5" l="1"/>
  <c r="G60" i="5"/>
  <c r="G58" i="5"/>
  <c r="G57" i="5"/>
  <c r="G56" i="5"/>
  <c r="G55" i="5"/>
  <c r="G53" i="5"/>
  <c r="G52" i="5"/>
  <c r="G51" i="5"/>
  <c r="G50" i="5"/>
  <c r="G47" i="5"/>
  <c r="G46" i="5"/>
  <c r="C28" i="5"/>
  <c r="G36" i="5"/>
  <c r="G39" i="5"/>
  <c r="G38" i="5"/>
  <c r="G34" i="5"/>
  <c r="G24" i="5"/>
  <c r="G23" i="5"/>
  <c r="G21" i="5"/>
  <c r="G20" i="5"/>
  <c r="K18" i="3" l="1"/>
  <c r="K17" i="3"/>
  <c r="K16" i="3"/>
  <c r="K15" i="3"/>
  <c r="F14" i="2"/>
  <c r="F12" i="2"/>
  <c r="F11" i="2"/>
  <c r="F10" i="2"/>
  <c r="C137" i="6" l="1"/>
  <c r="D137" i="6"/>
  <c r="E137" i="6"/>
  <c r="F137" i="6"/>
  <c r="B137" i="6"/>
  <c r="C62" i="6"/>
  <c r="D62" i="6"/>
  <c r="R55" i="24" s="1"/>
  <c r="E62" i="6"/>
  <c r="F62" i="6"/>
  <c r="T55" i="24" s="1"/>
  <c r="B62" i="6"/>
  <c r="B8" i="10"/>
  <c r="C6" i="23"/>
  <c r="C7" i="23" s="1"/>
  <c r="B9" i="1"/>
  <c r="H25" i="23"/>
  <c r="F5" i="13" s="1"/>
  <c r="G25" i="23"/>
  <c r="E5" i="13" s="1"/>
  <c r="F25" i="23"/>
  <c r="D5" i="12" s="1"/>
  <c r="E25" i="23"/>
  <c r="C5" i="12" s="1"/>
  <c r="D25" i="23"/>
  <c r="G30" i="9"/>
  <c r="G31" i="9"/>
  <c r="G29" i="9"/>
  <c r="G26" i="9"/>
  <c r="U18" i="27" s="1"/>
  <c r="G27" i="9"/>
  <c r="U19" i="27" s="1"/>
  <c r="G25" i="9"/>
  <c r="G24" i="9" s="1"/>
  <c r="U16" i="27" s="1"/>
  <c r="G23" i="9"/>
  <c r="G22" i="9"/>
  <c r="G19" i="9"/>
  <c r="U12" i="27" s="1"/>
  <c r="G18" i="9"/>
  <c r="G17" i="9"/>
  <c r="G14" i="9"/>
  <c r="G15" i="9"/>
  <c r="U8" i="27" s="1"/>
  <c r="G13" i="9"/>
  <c r="G11" i="9"/>
  <c r="G10" i="9"/>
  <c r="U3" i="27" s="1"/>
  <c r="G73" i="8"/>
  <c r="U65" i="26" s="1"/>
  <c r="G74" i="8"/>
  <c r="U66" i="26" s="1"/>
  <c r="G75" i="8"/>
  <c r="G72" i="8"/>
  <c r="G63" i="8"/>
  <c r="G64" i="8"/>
  <c r="U56" i="26" s="1"/>
  <c r="G65" i="8"/>
  <c r="G66" i="8"/>
  <c r="U58" i="26" s="1"/>
  <c r="G67" i="8"/>
  <c r="G68" i="8"/>
  <c r="G69" i="8"/>
  <c r="G70" i="8"/>
  <c r="U62" i="26" s="1"/>
  <c r="G62" i="8"/>
  <c r="U49" i="26"/>
  <c r="U50" i="26"/>
  <c r="U38" i="26"/>
  <c r="U41" i="26"/>
  <c r="U42" i="26"/>
  <c r="U43" i="26"/>
  <c r="U37" i="26"/>
  <c r="G39" i="8"/>
  <c r="G40" i="8"/>
  <c r="U33" i="26" s="1"/>
  <c r="G41" i="8"/>
  <c r="G38" i="8"/>
  <c r="G11" i="8"/>
  <c r="U4" i="26" s="1"/>
  <c r="G12" i="8"/>
  <c r="U5" i="26" s="1"/>
  <c r="G13" i="8"/>
  <c r="U6" i="26" s="1"/>
  <c r="G14" i="8"/>
  <c r="G15" i="8"/>
  <c r="U8" i="26" s="1"/>
  <c r="G16" i="8"/>
  <c r="U9" i="26" s="1"/>
  <c r="G17" i="8"/>
  <c r="G18" i="8"/>
  <c r="G20" i="8"/>
  <c r="G21" i="8"/>
  <c r="G22" i="8"/>
  <c r="G23" i="8"/>
  <c r="G24" i="8"/>
  <c r="G25" i="8"/>
  <c r="G26" i="8"/>
  <c r="U19" i="26" s="1"/>
  <c r="G28" i="8"/>
  <c r="U21" i="26" s="1"/>
  <c r="G29" i="8"/>
  <c r="U22" i="26" s="1"/>
  <c r="G30" i="8"/>
  <c r="G31" i="8"/>
  <c r="G32" i="8"/>
  <c r="G33" i="8"/>
  <c r="G34" i="8"/>
  <c r="U27" i="26" s="1"/>
  <c r="G35" i="8"/>
  <c r="G36" i="8"/>
  <c r="G69" i="7"/>
  <c r="G68" i="7"/>
  <c r="G63" i="7"/>
  <c r="G64" i="7"/>
  <c r="G10" i="7"/>
  <c r="B10" i="6"/>
  <c r="B18" i="6"/>
  <c r="B28" i="6"/>
  <c r="B38" i="6"/>
  <c r="B48" i="6"/>
  <c r="B58" i="6"/>
  <c r="B71" i="6"/>
  <c r="P64" i="24" s="1"/>
  <c r="B75" i="6"/>
  <c r="P68" i="24" s="1"/>
  <c r="G146" i="6"/>
  <c r="U131" i="24"/>
  <c r="U135" i="24"/>
  <c r="U118" i="24"/>
  <c r="U122" i="24"/>
  <c r="U106" i="24"/>
  <c r="U97" i="24"/>
  <c r="U100" i="24"/>
  <c r="U101" i="24"/>
  <c r="U90" i="24"/>
  <c r="U93" i="24"/>
  <c r="U94" i="24"/>
  <c r="U80" i="24"/>
  <c r="U81" i="24"/>
  <c r="G77" i="6"/>
  <c r="U73" i="24"/>
  <c r="G76" i="6"/>
  <c r="U69" i="24" s="1"/>
  <c r="G73" i="6"/>
  <c r="U66" i="24" s="1"/>
  <c r="G74" i="6"/>
  <c r="U67" i="24" s="1"/>
  <c r="G72" i="6"/>
  <c r="U65" i="24" s="1"/>
  <c r="G64" i="6"/>
  <c r="U57" i="24" s="1"/>
  <c r="G65" i="6"/>
  <c r="G66" i="6"/>
  <c r="U59" i="24" s="1"/>
  <c r="G67" i="6"/>
  <c r="U60" i="24" s="1"/>
  <c r="G68" i="6"/>
  <c r="U61" i="24" s="1"/>
  <c r="G69" i="6"/>
  <c r="G70" i="6"/>
  <c r="G63" i="6"/>
  <c r="U56" i="24" s="1"/>
  <c r="G60" i="6"/>
  <c r="G61" i="6"/>
  <c r="G50" i="6"/>
  <c r="G51" i="6"/>
  <c r="U44" i="24" s="1"/>
  <c r="G52" i="6"/>
  <c r="U45" i="24" s="1"/>
  <c r="G53" i="6"/>
  <c r="G54" i="6"/>
  <c r="G55" i="6"/>
  <c r="G56" i="6"/>
  <c r="U49" i="24" s="1"/>
  <c r="G57" i="6"/>
  <c r="G49" i="6"/>
  <c r="G40" i="6"/>
  <c r="U33" i="24" s="1"/>
  <c r="G41" i="6"/>
  <c r="U34" i="24" s="1"/>
  <c r="G42" i="6"/>
  <c r="G43" i="6"/>
  <c r="U36" i="24" s="1"/>
  <c r="G44" i="6"/>
  <c r="U37" i="24" s="1"/>
  <c r="G45" i="6"/>
  <c r="G46" i="6"/>
  <c r="G47" i="6"/>
  <c r="U40" i="24" s="1"/>
  <c r="G39" i="6"/>
  <c r="U32" i="24" s="1"/>
  <c r="G30" i="6"/>
  <c r="G31" i="6"/>
  <c r="G32" i="6"/>
  <c r="U25" i="24" s="1"/>
  <c r="G33" i="6"/>
  <c r="U26" i="24" s="1"/>
  <c r="G34" i="6"/>
  <c r="U27" i="24" s="1"/>
  <c r="G35" i="6"/>
  <c r="G36" i="6"/>
  <c r="U29" i="24" s="1"/>
  <c r="G37" i="6"/>
  <c r="G29" i="6"/>
  <c r="G28" i="6" s="1"/>
  <c r="U21" i="24" s="1"/>
  <c r="G20" i="6"/>
  <c r="G21" i="6"/>
  <c r="U14" i="24" s="1"/>
  <c r="G22" i="6"/>
  <c r="G23" i="6"/>
  <c r="G24" i="6"/>
  <c r="G25" i="6"/>
  <c r="U18" i="24" s="1"/>
  <c r="G26" i="6"/>
  <c r="G27" i="6"/>
  <c r="U20" i="24" s="1"/>
  <c r="G19" i="6"/>
  <c r="G11" i="6"/>
  <c r="B7" i="13"/>
  <c r="G12" i="6"/>
  <c r="G13" i="6"/>
  <c r="G14" i="6"/>
  <c r="U7" i="24" s="1"/>
  <c r="G15" i="6"/>
  <c r="G16" i="6"/>
  <c r="G17" i="6"/>
  <c r="G9" i="5"/>
  <c r="G10" i="5"/>
  <c r="G11" i="5"/>
  <c r="G12" i="5"/>
  <c r="U6" i="20" s="1"/>
  <c r="G13" i="5"/>
  <c r="G14" i="5"/>
  <c r="G15" i="5"/>
  <c r="G17" i="5"/>
  <c r="G18" i="5"/>
  <c r="G19" i="5"/>
  <c r="U13" i="20" s="1"/>
  <c r="G22" i="5"/>
  <c r="U16" i="20" s="1"/>
  <c r="G25" i="5"/>
  <c r="G26" i="5"/>
  <c r="U20" i="20" s="1"/>
  <c r="G27" i="5"/>
  <c r="G29" i="5"/>
  <c r="G30" i="5"/>
  <c r="G31" i="5"/>
  <c r="G32" i="5"/>
  <c r="G33" i="5"/>
  <c r="U27" i="20" s="1"/>
  <c r="G35" i="5"/>
  <c r="U29" i="20" s="1"/>
  <c r="F20" i="23"/>
  <c r="B6" i="2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/>
  <c r="E18" i="13"/>
  <c r="S12" i="31" s="1"/>
  <c r="F18" i="13"/>
  <c r="T12" i="31" s="1"/>
  <c r="G18" i="13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D29" i="13" s="1"/>
  <c r="R22" i="31" s="1"/>
  <c r="E7" i="13"/>
  <c r="F7" i="13"/>
  <c r="T2" i="31" s="1"/>
  <c r="G7" i="13"/>
  <c r="U2" i="31" s="1"/>
  <c r="Q2" i="31"/>
  <c r="S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 s="1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 s="1"/>
  <c r="E28" i="12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D7" i="12"/>
  <c r="E7" i="12"/>
  <c r="S2" i="30" s="1"/>
  <c r="F7" i="12"/>
  <c r="G7" i="12"/>
  <c r="G31" i="12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/>
  <c r="D36" i="12"/>
  <c r="R27" i="30" s="1"/>
  <c r="E36" i="12"/>
  <c r="S27" i="30"/>
  <c r="F36" i="12"/>
  <c r="T27" i="30" s="1"/>
  <c r="G36" i="12"/>
  <c r="U27" i="30" s="1"/>
  <c r="Q2" i="30"/>
  <c r="R2" i="30"/>
  <c r="T2" i="30"/>
  <c r="U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/>
  <c r="E19" i="11"/>
  <c r="F19" i="11"/>
  <c r="T12" i="29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D8" i="11"/>
  <c r="D30" i="11" s="1"/>
  <c r="R22" i="29" s="1"/>
  <c r="E8" i="11"/>
  <c r="F8" i="11"/>
  <c r="G8" i="11"/>
  <c r="R2" i="29"/>
  <c r="S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C32" i="10" s="1"/>
  <c r="Q23" i="28" s="1"/>
  <c r="Q2" i="28"/>
  <c r="D8" i="10"/>
  <c r="R2" i="28" s="1"/>
  <c r="E8" i="10"/>
  <c r="S2" i="28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D32" i="10" s="1"/>
  <c r="R23" i="28" s="1"/>
  <c r="E22" i="10"/>
  <c r="S15" i="28" s="1"/>
  <c r="F22" i="10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Q9" i="27" s="1"/>
  <c r="C9" i="9"/>
  <c r="Q2" i="27" s="1"/>
  <c r="D12" i="9"/>
  <c r="D9" i="9" s="1"/>
  <c r="R2" i="27" s="1"/>
  <c r="D16" i="9"/>
  <c r="R9" i="27" s="1"/>
  <c r="E12" i="9"/>
  <c r="E9" i="9" s="1"/>
  <c r="S2" i="27" s="1"/>
  <c r="E16" i="9"/>
  <c r="S9" i="27" s="1"/>
  <c r="F12" i="9"/>
  <c r="T5" i="27" s="1"/>
  <c r="F16" i="9"/>
  <c r="T9" i="27" s="1"/>
  <c r="F9" i="9"/>
  <c r="T2" i="27" s="1"/>
  <c r="G16" i="9"/>
  <c r="Q3" i="27"/>
  <c r="R3" i="27"/>
  <c r="S3" i="27"/>
  <c r="T3" i="27"/>
  <c r="Q4" i="27"/>
  <c r="R4" i="27"/>
  <c r="S4" i="27"/>
  <c r="T4" i="27"/>
  <c r="U4" i="27"/>
  <c r="Q5" i="27"/>
  <c r="R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C24" i="9"/>
  <c r="C28" i="9"/>
  <c r="Q20" i="27" s="1"/>
  <c r="D24" i="9"/>
  <c r="D28" i="9"/>
  <c r="R20" i="27" s="1"/>
  <c r="E24" i="9"/>
  <c r="E21" i="9" s="1"/>
  <c r="E28" i="9"/>
  <c r="F24" i="9"/>
  <c r="T16" i="27" s="1"/>
  <c r="F28" i="9"/>
  <c r="T20" i="27" s="1"/>
  <c r="Q14" i="27"/>
  <c r="R14" i="27"/>
  <c r="S14" i="27"/>
  <c r="T14" i="27"/>
  <c r="Q15" i="27"/>
  <c r="R15" i="27"/>
  <c r="S15" i="27"/>
  <c r="T15" i="27"/>
  <c r="U15" i="27"/>
  <c r="Q17" i="27"/>
  <c r="R17" i="27"/>
  <c r="S17" i="27"/>
  <c r="T17" i="27"/>
  <c r="Q18" i="27"/>
  <c r="R18" i="27"/>
  <c r="S18" i="27"/>
  <c r="T18" i="27"/>
  <c r="Q19" i="27"/>
  <c r="R19" i="27"/>
  <c r="S19" i="27"/>
  <c r="T19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P5" i="27"/>
  <c r="P6" i="27"/>
  <c r="P7" i="27"/>
  <c r="P8" i="27"/>
  <c r="B16" i="9"/>
  <c r="P9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B9" i="9"/>
  <c r="P2" i="27" s="1"/>
  <c r="A5" i="27"/>
  <c r="A4" i="27"/>
  <c r="A3" i="27"/>
  <c r="A2" i="27"/>
  <c r="C10" i="8"/>
  <c r="Q3" i="26" s="1"/>
  <c r="C19" i="8"/>
  <c r="Q12" i="26" s="1"/>
  <c r="C27" i="8"/>
  <c r="Q20" i="26" s="1"/>
  <c r="C37" i="8"/>
  <c r="Q30" i="26" s="1"/>
  <c r="D10" i="8"/>
  <c r="D19" i="8"/>
  <c r="R12" i="26" s="1"/>
  <c r="D27" i="8"/>
  <c r="R20" i="26" s="1"/>
  <c r="D37" i="8"/>
  <c r="E10" i="8"/>
  <c r="S3" i="26" s="1"/>
  <c r="E19" i="8"/>
  <c r="S12" i="26" s="1"/>
  <c r="E27" i="8"/>
  <c r="E37" i="8"/>
  <c r="S30" i="26" s="1"/>
  <c r="F10" i="8"/>
  <c r="T3" i="26" s="1"/>
  <c r="F19" i="8"/>
  <c r="F27" i="8"/>
  <c r="T20" i="26" s="1"/>
  <c r="F37" i="8"/>
  <c r="T30" i="26" s="1"/>
  <c r="R3" i="26"/>
  <c r="Q4" i="26"/>
  <c r="R4" i="26"/>
  <c r="S4" i="26"/>
  <c r="T4" i="26"/>
  <c r="Q5" i="26"/>
  <c r="R5" i="26"/>
  <c r="S5" i="26"/>
  <c r="T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R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Q45" i="26" s="1"/>
  <c r="C61" i="8"/>
  <c r="Q53" i="26" s="1"/>
  <c r="C71" i="8"/>
  <c r="D44" i="8"/>
  <c r="R36" i="26" s="1"/>
  <c r="D53" i="8"/>
  <c r="R45" i="26" s="1"/>
  <c r="D61" i="8"/>
  <c r="D71" i="8"/>
  <c r="R63" i="26" s="1"/>
  <c r="E44" i="8"/>
  <c r="S36" i="26" s="1"/>
  <c r="E53" i="8"/>
  <c r="E61" i="8"/>
  <c r="S53" i="26" s="1"/>
  <c r="E71" i="8"/>
  <c r="S63" i="26" s="1"/>
  <c r="F44" i="8"/>
  <c r="T36" i="26" s="1"/>
  <c r="F53" i="8"/>
  <c r="T45" i="26" s="1"/>
  <c r="F61" i="8"/>
  <c r="T53" i="26" s="1"/>
  <c r="F71" i="8"/>
  <c r="T63" i="26" s="1"/>
  <c r="Q37" i="26"/>
  <c r="R37" i="26"/>
  <c r="S37" i="26"/>
  <c r="T37" i="26"/>
  <c r="Q38" i="26"/>
  <c r="R38" i="26"/>
  <c r="S38" i="26"/>
  <c r="T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U44" i="26"/>
  <c r="Q46" i="26"/>
  <c r="R46" i="26"/>
  <c r="S46" i="26"/>
  <c r="T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Q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B61" i="8"/>
  <c r="P53" i="26" s="1"/>
  <c r="B71" i="8"/>
  <c r="P63" i="26" s="1"/>
  <c r="B10" i="8"/>
  <c r="P3" i="26" s="1"/>
  <c r="B19" i="8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67" i="7"/>
  <c r="T3" i="25" s="1"/>
  <c r="E9" i="7"/>
  <c r="E67" i="7"/>
  <c r="S3" i="25" s="1"/>
  <c r="D9" i="7"/>
  <c r="D67" i="7"/>
  <c r="R3" i="25" s="1"/>
  <c r="C9" i="7"/>
  <c r="Q2" i="25" s="1"/>
  <c r="C67" i="7"/>
  <c r="Q3" i="25" s="1"/>
  <c r="B9" i="7"/>
  <c r="P2" i="25" s="1"/>
  <c r="B67" i="7"/>
  <c r="A3" i="25"/>
  <c r="A4" i="25"/>
  <c r="A2" i="25"/>
  <c r="A87" i="24"/>
  <c r="C85" i="6"/>
  <c r="Q77" i="24" s="1"/>
  <c r="C93" i="6"/>
  <c r="Q85" i="24" s="1"/>
  <c r="C103" i="6"/>
  <c r="Q95" i="24" s="1"/>
  <c r="C113" i="6"/>
  <c r="Q105" i="24" s="1"/>
  <c r="C123" i="6"/>
  <c r="Q115" i="24" s="1"/>
  <c r="C133" i="6"/>
  <c r="Q125" i="24" s="1"/>
  <c r="C146" i="6"/>
  <c r="C150" i="6"/>
  <c r="Q142" i="24" s="1"/>
  <c r="D85" i="6"/>
  <c r="R77" i="24" s="1"/>
  <c r="D93" i="6"/>
  <c r="R85" i="24" s="1"/>
  <c r="D103" i="6"/>
  <c r="R95" i="24" s="1"/>
  <c r="D113" i="6"/>
  <c r="R105" i="24" s="1"/>
  <c r="D123" i="6"/>
  <c r="R115" i="24" s="1"/>
  <c r="D133" i="6"/>
  <c r="D146" i="6"/>
  <c r="R138" i="24" s="1"/>
  <c r="D150" i="6"/>
  <c r="E85" i="6"/>
  <c r="S77" i="24" s="1"/>
  <c r="E93" i="6"/>
  <c r="S85" i="24" s="1"/>
  <c r="S95" i="24"/>
  <c r="E113" i="6"/>
  <c r="S105" i="24" s="1"/>
  <c r="E123" i="6"/>
  <c r="S115" i="24" s="1"/>
  <c r="E133" i="6"/>
  <c r="S125" i="24" s="1"/>
  <c r="E146" i="6"/>
  <c r="S138" i="24" s="1"/>
  <c r="E150" i="6"/>
  <c r="S142" i="24" s="1"/>
  <c r="T77" i="24"/>
  <c r="F93" i="6"/>
  <c r="T85" i="24" s="1"/>
  <c r="F103" i="6"/>
  <c r="T95" i="24" s="1"/>
  <c r="F113" i="6"/>
  <c r="T105" i="24" s="1"/>
  <c r="F123" i="6"/>
  <c r="T115" i="24" s="1"/>
  <c r="F133" i="6"/>
  <c r="T125" i="24" s="1"/>
  <c r="F146" i="6"/>
  <c r="T138" i="24" s="1"/>
  <c r="F150" i="6"/>
  <c r="T142" i="24" s="1"/>
  <c r="G123" i="6"/>
  <c r="U115" i="24" s="1"/>
  <c r="Q78" i="24"/>
  <c r="R78" i="24"/>
  <c r="S78" i="24"/>
  <c r="T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Q96" i="24"/>
  <c r="R96" i="24"/>
  <c r="S96" i="24"/>
  <c r="T96" i="24"/>
  <c r="U96" i="24"/>
  <c r="Q97" i="24"/>
  <c r="R97" i="24"/>
  <c r="S97" i="24"/>
  <c r="T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R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U137" i="24"/>
  <c r="Q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R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Q21" i="24" s="1"/>
  <c r="C38" i="6"/>
  <c r="Q31" i="24" s="1"/>
  <c r="C48" i="6"/>
  <c r="Q41" i="24" s="1"/>
  <c r="C58" i="6"/>
  <c r="Q51" i="24" s="1"/>
  <c r="C71" i="6"/>
  <c r="Q64" i="24" s="1"/>
  <c r="C75" i="6"/>
  <c r="Q68" i="24" s="1"/>
  <c r="D10" i="6"/>
  <c r="R3" i="24" s="1"/>
  <c r="D18" i="6"/>
  <c r="R11" i="24" s="1"/>
  <c r="D28" i="6"/>
  <c r="D38" i="6"/>
  <c r="R31" i="24" s="1"/>
  <c r="D48" i="6"/>
  <c r="R41" i="24" s="1"/>
  <c r="D58" i="6"/>
  <c r="R51" i="24" s="1"/>
  <c r="D71" i="6"/>
  <c r="R64" i="24" s="1"/>
  <c r="D75" i="6"/>
  <c r="R68" i="24" s="1"/>
  <c r="E10" i="6"/>
  <c r="S3" i="24" s="1"/>
  <c r="E18" i="6"/>
  <c r="S11" i="24" s="1"/>
  <c r="E28" i="6"/>
  <c r="E38" i="6"/>
  <c r="S31" i="24" s="1"/>
  <c r="E48" i="6"/>
  <c r="S41" i="24" s="1"/>
  <c r="E58" i="6"/>
  <c r="S51" i="24" s="1"/>
  <c r="E71" i="6"/>
  <c r="S64" i="24" s="1"/>
  <c r="E75" i="6"/>
  <c r="S68" i="24" s="1"/>
  <c r="F10" i="6"/>
  <c r="T3" i="24" s="1"/>
  <c r="F18" i="6"/>
  <c r="F28" i="6"/>
  <c r="T21" i="24" s="1"/>
  <c r="F38" i="6"/>
  <c r="T31" i="24" s="1"/>
  <c r="F48" i="6"/>
  <c r="T41" i="24" s="1"/>
  <c r="F58" i="6"/>
  <c r="T51" i="24" s="1"/>
  <c r="F71" i="6"/>
  <c r="T64" i="24" s="1"/>
  <c r="F75" i="6"/>
  <c r="G75" i="6"/>
  <c r="U68" i="24" s="1"/>
  <c r="B85" i="6"/>
  <c r="P77" i="24" s="1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R21" i="24"/>
  <c r="S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U30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Q50" i="24"/>
  <c r="R50" i="24"/>
  <c r="S50" i="24"/>
  <c r="T50" i="24"/>
  <c r="U50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U54" i="24"/>
  <c r="Q55" i="24"/>
  <c r="S55" i="24"/>
  <c r="Q56" i="24"/>
  <c r="R56" i="24"/>
  <c r="S56" i="24"/>
  <c r="T56" i="24"/>
  <c r="Q57" i="24"/>
  <c r="R57" i="24"/>
  <c r="S57" i="24"/>
  <c r="T57" i="24"/>
  <c r="Q58" i="24"/>
  <c r="R58" i="24"/>
  <c r="S58" i="24"/>
  <c r="T58" i="24"/>
  <c r="U58" i="24"/>
  <c r="Q59" i="24"/>
  <c r="R59" i="24"/>
  <c r="S59" i="24"/>
  <c r="T59" i="24"/>
  <c r="Q60" i="24"/>
  <c r="R60" i="24"/>
  <c r="S60" i="24"/>
  <c r="T60" i="24"/>
  <c r="Q61" i="24"/>
  <c r="R61" i="24"/>
  <c r="S61" i="24"/>
  <c r="T61" i="24"/>
  <c r="Q62" i="24"/>
  <c r="R62" i="24"/>
  <c r="S62" i="24"/>
  <c r="T62" i="24"/>
  <c r="U62" i="24"/>
  <c r="Q63" i="24"/>
  <c r="R63" i="24"/>
  <c r="S63" i="24"/>
  <c r="T63" i="24"/>
  <c r="U63" i="24"/>
  <c r="Q65" i="24"/>
  <c r="R65" i="24"/>
  <c r="S65" i="24"/>
  <c r="T65" i="24"/>
  <c r="Q66" i="24"/>
  <c r="R66" i="24"/>
  <c r="S66" i="24"/>
  <c r="T66" i="24"/>
  <c r="Q67" i="24"/>
  <c r="R67" i="24"/>
  <c r="S67" i="24"/>
  <c r="T67" i="24"/>
  <c r="T68" i="24"/>
  <c r="Q69" i="24"/>
  <c r="R69" i="24"/>
  <c r="S69" i="24"/>
  <c r="T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7" i="20"/>
  <c r="U8" i="20"/>
  <c r="U9" i="20"/>
  <c r="U11" i="20"/>
  <c r="U12" i="20"/>
  <c r="U14" i="20"/>
  <c r="U15" i="20"/>
  <c r="U17" i="20"/>
  <c r="U18" i="20"/>
  <c r="U19" i="20"/>
  <c r="U21" i="20"/>
  <c r="U23" i="20"/>
  <c r="U24" i="20"/>
  <c r="U25" i="20"/>
  <c r="U26" i="20"/>
  <c r="U28" i="20"/>
  <c r="U30" i="20"/>
  <c r="U32" i="20"/>
  <c r="U33" i="20"/>
  <c r="U38" i="20"/>
  <c r="U39" i="20"/>
  <c r="G48" i="5"/>
  <c r="U40" i="20" s="1"/>
  <c r="G49" i="5"/>
  <c r="U41" i="20" s="1"/>
  <c r="U42" i="20"/>
  <c r="U43" i="20"/>
  <c r="U44" i="20"/>
  <c r="U45" i="20"/>
  <c r="U47" i="20"/>
  <c r="U48" i="20"/>
  <c r="U49" i="20"/>
  <c r="U50" i="20"/>
  <c r="G59" i="5"/>
  <c r="U51" i="20" s="1"/>
  <c r="U53" i="20"/>
  <c r="U54" i="20"/>
  <c r="U55" i="20"/>
  <c r="G68" i="5"/>
  <c r="U58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R29" i="20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P22" i="20" s="1"/>
  <c r="B35" i="5"/>
  <c r="P29" i="20" s="1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 s="1"/>
  <c r="F18" i="23"/>
  <c r="K6" i="3" s="1"/>
  <c r="E18" i="23"/>
  <c r="J6" i="3" s="1"/>
  <c r="D18" i="23"/>
  <c r="I6" i="3" s="1"/>
  <c r="F6" i="1"/>
  <c r="E6" i="1"/>
  <c r="D5" i="13"/>
  <c r="C5" i="13"/>
  <c r="B5" i="13"/>
  <c r="E5" i="12"/>
  <c r="B5" i="12"/>
  <c r="F5" i="12"/>
  <c r="I25" i="23"/>
  <c r="D23" i="23"/>
  <c r="B6" i="11" s="1"/>
  <c r="I23" i="23"/>
  <c r="G6" i="11" s="1"/>
  <c r="H23" i="23"/>
  <c r="F6" i="11" s="1"/>
  <c r="G23" i="23"/>
  <c r="E6" i="10" s="1"/>
  <c r="F23" i="23"/>
  <c r="D6" i="11" s="1"/>
  <c r="E23" i="23"/>
  <c r="C6" i="11" s="1"/>
  <c r="G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J14" i="3"/>
  <c r="X4" i="17" s="1"/>
  <c r="I14" i="3"/>
  <c r="W4" i="17" s="1"/>
  <c r="I8" i="3"/>
  <c r="W3" i="17" s="1"/>
  <c r="H14" i="3"/>
  <c r="V4" i="17" s="1"/>
  <c r="G14" i="3"/>
  <c r="U4" i="17" s="1"/>
  <c r="E14" i="3"/>
  <c r="S4" i="17" s="1"/>
  <c r="J8" i="3"/>
  <c r="H8" i="3"/>
  <c r="V3" i="17" s="1"/>
  <c r="G8" i="3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R9" i="18"/>
  <c r="B68" i="4"/>
  <c r="P36" i="18" s="1"/>
  <c r="B64" i="4"/>
  <c r="P33" i="18" s="1"/>
  <c r="B63" i="4"/>
  <c r="P32" i="18" s="1"/>
  <c r="B55" i="4"/>
  <c r="B53" i="4"/>
  <c r="P30" i="18" s="1"/>
  <c r="B49" i="4"/>
  <c r="P27" i="18" s="1"/>
  <c r="B48" i="4"/>
  <c r="P26" i="18" s="1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Q37" i="18"/>
  <c r="R37" i="18"/>
  <c r="Q36" i="18"/>
  <c r="R36" i="18"/>
  <c r="C64" i="4"/>
  <c r="Q33" i="18" s="1"/>
  <c r="D64" i="4"/>
  <c r="R33" i="18" s="1"/>
  <c r="C63" i="4"/>
  <c r="Q32" i="18" s="1"/>
  <c r="D63" i="4"/>
  <c r="R32" i="18" s="1"/>
  <c r="C48" i="4"/>
  <c r="Q26" i="18" s="1"/>
  <c r="Q31" i="18"/>
  <c r="R31" i="18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D40" i="4"/>
  <c r="R22" i="18" s="1"/>
  <c r="C37" i="4"/>
  <c r="Q19" i="18" s="1"/>
  <c r="D37" i="4"/>
  <c r="R19" i="18" s="1"/>
  <c r="C17" i="4"/>
  <c r="Q9" i="18" s="1"/>
  <c r="C13" i="4"/>
  <c r="Q6" i="18" s="1"/>
  <c r="D13" i="4"/>
  <c r="R6" i="18" s="1"/>
  <c r="T15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D9" i="2"/>
  <c r="R4" i="16" s="1"/>
  <c r="E9" i="2"/>
  <c r="F9" i="2"/>
  <c r="T4" i="16" s="1"/>
  <c r="G9" i="2"/>
  <c r="U4" i="16" s="1"/>
  <c r="H9" i="2"/>
  <c r="V4" i="16" s="1"/>
  <c r="B9" i="2"/>
  <c r="P4" i="16" s="1"/>
  <c r="P4" i="15"/>
  <c r="G9" i="7" l="1"/>
  <c r="U2" i="25" s="1"/>
  <c r="D41" i="5"/>
  <c r="R34" i="20" s="1"/>
  <c r="C44" i="4"/>
  <c r="C11" i="4" s="1"/>
  <c r="U17" i="27"/>
  <c r="G28" i="9"/>
  <c r="U20" i="27" s="1"/>
  <c r="S16" i="27"/>
  <c r="G71" i="8"/>
  <c r="U63" i="26" s="1"/>
  <c r="C43" i="8"/>
  <c r="Q35" i="26" s="1"/>
  <c r="G44" i="8"/>
  <c r="G38" i="6"/>
  <c r="U31" i="24" s="1"/>
  <c r="G71" i="6"/>
  <c r="U64" i="24" s="1"/>
  <c r="B9" i="6"/>
  <c r="P2" i="24" s="1"/>
  <c r="G67" i="5"/>
  <c r="U57" i="20" s="1"/>
  <c r="F65" i="5"/>
  <c r="T56" i="20" s="1"/>
  <c r="G28" i="5"/>
  <c r="U22" i="20" s="1"/>
  <c r="U52" i="20"/>
  <c r="D65" i="5"/>
  <c r="R56" i="20" s="1"/>
  <c r="R37" i="20"/>
  <c r="G37" i="5"/>
  <c r="U31" i="20" s="1"/>
  <c r="B44" i="4"/>
  <c r="P25" i="18" s="1"/>
  <c r="J20" i="3"/>
  <c r="X5" i="17" s="1"/>
  <c r="X3" i="17"/>
  <c r="T14" i="16"/>
  <c r="E8" i="2"/>
  <c r="C8" i="2"/>
  <c r="C20" i="2" s="1"/>
  <c r="Q13" i="16" s="1"/>
  <c r="Q4" i="16"/>
  <c r="F47" i="1"/>
  <c r="F59" i="1" s="1"/>
  <c r="Q104" i="15" s="1"/>
  <c r="C6" i="10"/>
  <c r="A2" i="14"/>
  <c r="C85" i="7"/>
  <c r="Q4" i="25" s="1"/>
  <c r="A2" i="2"/>
  <c r="A2" i="8"/>
  <c r="A2" i="7"/>
  <c r="A2" i="5"/>
  <c r="A2" i="4"/>
  <c r="A2" i="3"/>
  <c r="A2" i="1"/>
  <c r="S4" i="16"/>
  <c r="E47" i="1"/>
  <c r="E59" i="1" s="1"/>
  <c r="H20" i="3"/>
  <c r="V5" i="17" s="1"/>
  <c r="C65" i="5"/>
  <c r="Q56" i="20" s="1"/>
  <c r="F41" i="5"/>
  <c r="C9" i="8"/>
  <c r="Q2" i="26" s="1"/>
  <c r="C29" i="13"/>
  <c r="Q22" i="31" s="1"/>
  <c r="G48" i="6"/>
  <c r="U41" i="24" s="1"/>
  <c r="E41" i="5"/>
  <c r="Q22" i="18"/>
  <c r="E6" i="11"/>
  <c r="F9" i="8"/>
  <c r="T2" i="26" s="1"/>
  <c r="R15" i="28"/>
  <c r="C72" i="4"/>
  <c r="C74" i="4" s="1"/>
  <c r="Q39" i="18" s="1"/>
  <c r="K14" i="3"/>
  <c r="Y4" i="17" s="1"/>
  <c r="A2" i="10"/>
  <c r="C41" i="5"/>
  <c r="Q34" i="20" s="1"/>
  <c r="R2" i="31"/>
  <c r="G37" i="8"/>
  <c r="U30" i="26" s="1"/>
  <c r="B8" i="2"/>
  <c r="E20" i="3"/>
  <c r="S5" i="17" s="1"/>
  <c r="S5" i="27"/>
  <c r="B32" i="10"/>
  <c r="P23" i="28" s="1"/>
  <c r="F31" i="12"/>
  <c r="T23" i="30" s="1"/>
  <c r="F29" i="13"/>
  <c r="T22" i="31" s="1"/>
  <c r="F9" i="6"/>
  <c r="T2" i="24" s="1"/>
  <c r="G32" i="10"/>
  <c r="U23" i="28" s="1"/>
  <c r="G67" i="7"/>
  <c r="U3" i="25" s="1"/>
  <c r="E65" i="5"/>
  <c r="S56" i="20" s="1"/>
  <c r="G54" i="5"/>
  <c r="U46" i="20" s="1"/>
  <c r="C9" i="6"/>
  <c r="Q2" i="24" s="1"/>
  <c r="E43" i="8"/>
  <c r="S35" i="26" s="1"/>
  <c r="B30" i="11"/>
  <c r="P22" i="29" s="1"/>
  <c r="G133" i="6"/>
  <c r="U125" i="24" s="1"/>
  <c r="G150" i="6"/>
  <c r="U142" i="24" s="1"/>
  <c r="K8" i="3"/>
  <c r="Y3" i="17" s="1"/>
  <c r="G8" i="2"/>
  <c r="U3" i="16" s="1"/>
  <c r="E79" i="1"/>
  <c r="P119" i="15" s="1"/>
  <c r="G20" i="3"/>
  <c r="U5" i="17" s="1"/>
  <c r="I20" i="3"/>
  <c r="W5" i="17" s="1"/>
  <c r="E9" i="6"/>
  <c r="S2" i="24" s="1"/>
  <c r="C57" i="4"/>
  <c r="C59" i="4" s="1"/>
  <c r="C47" i="1"/>
  <c r="C62" i="1" s="1"/>
  <c r="Q54" i="15" s="1"/>
  <c r="B57" i="4"/>
  <c r="B59" i="4" s="1"/>
  <c r="B65" i="5"/>
  <c r="P56" i="20" s="1"/>
  <c r="S3" i="16"/>
  <c r="E20" i="2"/>
  <c r="S13" i="16" s="1"/>
  <c r="A2" i="11"/>
  <c r="D6" i="10"/>
  <c r="B41" i="5"/>
  <c r="E85" i="7"/>
  <c r="S4" i="25" s="1"/>
  <c r="S2" i="25"/>
  <c r="P12" i="26"/>
  <c r="B9" i="8"/>
  <c r="P2" i="26" s="1"/>
  <c r="B43" i="8"/>
  <c r="P45" i="26"/>
  <c r="U36" i="26"/>
  <c r="S21" i="28"/>
  <c r="E32" i="10"/>
  <c r="S23" i="28" s="1"/>
  <c r="G10" i="8"/>
  <c r="U46" i="26"/>
  <c r="G53" i="8"/>
  <c r="U45" i="26" s="1"/>
  <c r="Q3" i="16"/>
  <c r="F79" i="1"/>
  <c r="Q119" i="15" s="1"/>
  <c r="H8" i="2"/>
  <c r="D57" i="4"/>
  <c r="D59" i="4" s="1"/>
  <c r="P106" i="15"/>
  <c r="B72" i="4"/>
  <c r="A2" i="12"/>
  <c r="P37" i="20"/>
  <c r="G75" i="5"/>
  <c r="U62" i="20" s="1"/>
  <c r="G45" i="5"/>
  <c r="Q11" i="24"/>
  <c r="B84" i="6"/>
  <c r="P76" i="24" s="1"/>
  <c r="D9" i="6"/>
  <c r="B85" i="7"/>
  <c r="P4" i="25" s="1"/>
  <c r="P3" i="25"/>
  <c r="D85" i="7"/>
  <c r="R4" i="25" s="1"/>
  <c r="R2" i="25"/>
  <c r="T12" i="26"/>
  <c r="U2" i="29"/>
  <c r="G30" i="11"/>
  <c r="U22" i="29" s="1"/>
  <c r="G19" i="8"/>
  <c r="U12" i="26" s="1"/>
  <c r="A2" i="9"/>
  <c r="A2" i="6"/>
  <c r="B47" i="1"/>
  <c r="D8" i="2"/>
  <c r="U3" i="17"/>
  <c r="F8" i="2"/>
  <c r="D44" i="4"/>
  <c r="D11" i="4" s="1"/>
  <c r="D72" i="4"/>
  <c r="P19" i="18"/>
  <c r="B6" i="10"/>
  <c r="F6" i="10"/>
  <c r="T11" i="24"/>
  <c r="G113" i="6"/>
  <c r="U105" i="24" s="1"/>
  <c r="C84" i="6"/>
  <c r="Q76" i="24" s="1"/>
  <c r="U31" i="26"/>
  <c r="B21" i="9"/>
  <c r="P16" i="27"/>
  <c r="F32" i="10"/>
  <c r="T23" i="28" s="1"/>
  <c r="T15" i="28"/>
  <c r="P2" i="29"/>
  <c r="F30" i="11"/>
  <c r="T22" i="29" s="1"/>
  <c r="T2" i="29"/>
  <c r="C31" i="12"/>
  <c r="Q23" i="30" s="1"/>
  <c r="S21" i="30"/>
  <c r="E31" i="12"/>
  <c r="S23" i="30" s="1"/>
  <c r="U12" i="31"/>
  <c r="G29" i="13"/>
  <c r="U22" i="31" s="1"/>
  <c r="U5" i="24"/>
  <c r="G10" i="6"/>
  <c r="G85" i="6"/>
  <c r="U78" i="24"/>
  <c r="G103" i="6"/>
  <c r="U95" i="24" s="1"/>
  <c r="G27" i="8"/>
  <c r="U20" i="26" s="1"/>
  <c r="U23" i="26"/>
  <c r="E84" i="6"/>
  <c r="S76" i="24" s="1"/>
  <c r="S45" i="26"/>
  <c r="D43" i="8"/>
  <c r="R53" i="26"/>
  <c r="E33" i="9"/>
  <c r="S24" i="27" s="1"/>
  <c r="S13" i="27"/>
  <c r="C21" i="9"/>
  <c r="Q16" i="27"/>
  <c r="Q2" i="29"/>
  <c r="C30" i="11"/>
  <c r="Q22" i="29" s="1"/>
  <c r="P2" i="31"/>
  <c r="B29" i="13"/>
  <c r="P22" i="31" s="1"/>
  <c r="G58" i="6"/>
  <c r="U51" i="24" s="1"/>
  <c r="U53" i="24"/>
  <c r="U89" i="24"/>
  <c r="G93" i="6"/>
  <c r="U85" i="24" s="1"/>
  <c r="D84" i="6"/>
  <c r="R76" i="24" s="1"/>
  <c r="F85" i="7"/>
  <c r="T4" i="25" s="1"/>
  <c r="F43" i="8"/>
  <c r="G16" i="5"/>
  <c r="U10" i="20" s="1"/>
  <c r="G18" i="6"/>
  <c r="U11" i="24" s="1"/>
  <c r="G62" i="6"/>
  <c r="U55" i="24" s="1"/>
  <c r="G137" i="6"/>
  <c r="U129" i="24" s="1"/>
  <c r="G12" i="9"/>
  <c r="U7" i="27"/>
  <c r="G21" i="9"/>
  <c r="F84" i="6"/>
  <c r="T76" i="24" s="1"/>
  <c r="E9" i="8"/>
  <c r="S2" i="26" s="1"/>
  <c r="S20" i="26"/>
  <c r="D9" i="8"/>
  <c r="R2" i="26" s="1"/>
  <c r="U14" i="27"/>
  <c r="F21" i="9"/>
  <c r="D21" i="9"/>
  <c r="R16" i="27"/>
  <c r="S12" i="29"/>
  <c r="E30" i="11"/>
  <c r="S22" i="29" s="1"/>
  <c r="D31" i="12"/>
  <c r="R23" i="30" s="1"/>
  <c r="B31" i="12"/>
  <c r="P23" i="30" s="1"/>
  <c r="P2" i="30"/>
  <c r="E29" i="13"/>
  <c r="S22" i="31" s="1"/>
  <c r="G61" i="8"/>
  <c r="U53" i="26" s="1"/>
  <c r="U54" i="26"/>
  <c r="G20" i="2" l="1"/>
  <c r="U13" i="16" s="1"/>
  <c r="Q25" i="18"/>
  <c r="C77" i="8"/>
  <c r="Q68" i="26" s="1"/>
  <c r="G85" i="7"/>
  <c r="U4" i="25" s="1"/>
  <c r="D70" i="5"/>
  <c r="C70" i="5"/>
  <c r="Q38" i="18"/>
  <c r="E81" i="1"/>
  <c r="P120" i="15" s="1"/>
  <c r="Q95" i="15"/>
  <c r="Q42" i="15"/>
  <c r="P95" i="15"/>
  <c r="K20" i="3"/>
  <c r="Y5" i="17" s="1"/>
  <c r="B20" i="2"/>
  <c r="P13" i="16" s="1"/>
  <c r="P3" i="16"/>
  <c r="S34" i="20"/>
  <c r="E70" i="5"/>
  <c r="P104" i="15"/>
  <c r="T34" i="20"/>
  <c r="F70" i="5"/>
  <c r="T35" i="26"/>
  <c r="F77" i="8"/>
  <c r="T68" i="26" s="1"/>
  <c r="C33" i="9"/>
  <c r="Q24" i="27" s="1"/>
  <c r="Q13" i="27"/>
  <c r="R35" i="26"/>
  <c r="D77" i="8"/>
  <c r="R68" i="26" s="1"/>
  <c r="G9" i="6"/>
  <c r="U3" i="24"/>
  <c r="D74" i="4"/>
  <c r="R39" i="18" s="1"/>
  <c r="R38" i="18"/>
  <c r="G41" i="5"/>
  <c r="U13" i="27"/>
  <c r="P13" i="27"/>
  <c r="B33" i="9"/>
  <c r="P24" i="27" s="1"/>
  <c r="R25" i="18"/>
  <c r="R3" i="16"/>
  <c r="D20" i="2"/>
  <c r="R13" i="16" s="1"/>
  <c r="V3" i="16"/>
  <c r="H20" i="2"/>
  <c r="V13" i="16" s="1"/>
  <c r="P35" i="26"/>
  <c r="B77" i="8"/>
  <c r="P68" i="26" s="1"/>
  <c r="E77" i="8"/>
  <c r="S68" i="26" s="1"/>
  <c r="B159" i="6"/>
  <c r="P150" i="24" s="1"/>
  <c r="C8" i="4"/>
  <c r="Q5" i="18"/>
  <c r="R13" i="27"/>
  <c r="D33" i="9"/>
  <c r="R24" i="27" s="1"/>
  <c r="F20" i="2"/>
  <c r="T13" i="16" s="1"/>
  <c r="T3" i="16"/>
  <c r="B62" i="1"/>
  <c r="P54" i="15" s="1"/>
  <c r="P42" i="15"/>
  <c r="D159" i="6"/>
  <c r="R150" i="24" s="1"/>
  <c r="R2" i="24"/>
  <c r="G65" i="5"/>
  <c r="U56" i="20" s="1"/>
  <c r="U37" i="20"/>
  <c r="B74" i="4"/>
  <c r="P39" i="18" s="1"/>
  <c r="P38" i="18"/>
  <c r="E159" i="6"/>
  <c r="S150" i="24" s="1"/>
  <c r="C159" i="6"/>
  <c r="Q150" i="24" s="1"/>
  <c r="F159" i="6"/>
  <c r="T150" i="24" s="1"/>
  <c r="F81" i="1"/>
  <c r="Q120" i="15" s="1"/>
  <c r="T13" i="27"/>
  <c r="F33" i="9"/>
  <c r="T24" i="27" s="1"/>
  <c r="U5" i="27"/>
  <c r="G9" i="9"/>
  <c r="U2" i="27" s="1"/>
  <c r="U77" i="24"/>
  <c r="G84" i="6"/>
  <c r="U76" i="24" s="1"/>
  <c r="G9" i="8"/>
  <c r="U2" i="26" s="1"/>
  <c r="U3" i="26"/>
  <c r="G43" i="8"/>
  <c r="P34" i="20"/>
  <c r="B70" i="5"/>
  <c r="P5" i="18"/>
  <c r="B8" i="4"/>
  <c r="B21" i="4" l="1"/>
  <c r="P2" i="18"/>
  <c r="G77" i="8"/>
  <c r="U68" i="26" s="1"/>
  <c r="U35" i="26"/>
  <c r="G33" i="9"/>
  <c r="U24" i="27" s="1"/>
  <c r="G42" i="5"/>
  <c r="U35" i="20" s="1"/>
  <c r="U34" i="20"/>
  <c r="G70" i="5"/>
  <c r="G159" i="6"/>
  <c r="U150" i="24" s="1"/>
  <c r="U2" i="24"/>
  <c r="C21" i="4"/>
  <c r="Q2" i="18"/>
  <c r="R5" i="18"/>
  <c r="D8" i="4"/>
  <c r="C23" i="4" l="1"/>
  <c r="Q12" i="18"/>
  <c r="D21" i="4"/>
  <c r="R2" i="18"/>
  <c r="P12" i="18"/>
  <c r="B23" i="4"/>
  <c r="R12" i="18" l="1"/>
  <c r="D23" i="4"/>
  <c r="B25" i="4"/>
  <c r="P13" i="18"/>
  <c r="Q13" i="18"/>
  <c r="C25" i="4"/>
  <c r="B33" i="4" l="1"/>
  <c r="P18" i="18" s="1"/>
  <c r="P14" i="18"/>
  <c r="Q14" i="18"/>
  <c r="C33" i="4"/>
  <c r="Q18" i="18" s="1"/>
  <c r="D25" i="4"/>
  <c r="R13" i="18"/>
  <c r="R14" i="18" l="1"/>
  <c r="D33" i="4"/>
  <c r="R18" i="18" s="1"/>
</calcChain>
</file>

<file path=xl/sharedStrings.xml><?xml version="1.0" encoding="utf-8"?>
<sst xmlns="http://schemas.openxmlformats.org/spreadsheetml/2006/main" count="4302" uniqueCount="3354">
  <si>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</si>
  <si>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</si>
  <si>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</si>
  <si>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</si>
  <si>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</si>
  <si>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</si>
  <si>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</si>
  <si>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</si>
  <si>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</si>
  <si>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</si>
  <si>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</si>
  <si>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</si>
  <si>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</si>
  <si>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</si>
  <si>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</si>
  <si>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</si>
  <si>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</si>
  <si>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</si>
  <si>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</si>
  <si>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</si>
  <si>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</si>
  <si>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</si>
  <si>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</si>
  <si>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</si>
  <si>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</si>
  <si>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</si>
  <si>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</si>
  <si>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</si>
  <si>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</si>
  <si>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</si>
  <si>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</si>
  <si>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</si>
  <si>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</si>
  <si>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</si>
  <si>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</si>
  <si>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</si>
  <si>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</si>
  <si>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</si>
  <si>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</si>
  <si>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</si>
  <si>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</si>
  <si>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</si>
  <si>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</si>
  <si>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</si>
  <si>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</si>
  <si>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</si>
  <si>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</si>
  <si>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</si>
  <si>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</si>
  <si>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</si>
  <si>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</si>
  <si>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</si>
  <si>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</si>
  <si>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</si>
  <si>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</si>
  <si>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</si>
  <si>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</si>
  <si>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</si>
  <si>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</si>
  <si>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</si>
  <si>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</si>
  <si>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</si>
  <si>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</si>
  <si>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</si>
  <si>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</si>
  <si>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</si>
  <si>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</si>
  <si>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</si>
  <si>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</si>
  <si>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</si>
  <si>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</si>
  <si>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</si>
  <si>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</si>
  <si>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</si>
  <si>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</si>
  <si>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</si>
  <si>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</si>
  <si>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</si>
  <si>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</si>
  <si>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</si>
  <si>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</si>
  <si>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</si>
  <si>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</si>
  <si>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</si>
  <si>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</si>
  <si>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</si>
  <si>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</si>
  <si>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</si>
  <si>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</si>
  <si>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</si>
  <si>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</si>
  <si>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</si>
  <si>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</si>
  <si>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</si>
  <si>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</si>
  <si>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</si>
  <si>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</si>
  <si>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</si>
  <si>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</si>
  <si>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</si>
  <si>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</si>
  <si>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</si>
  <si>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</si>
  <si>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</si>
  <si>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</si>
  <si>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</si>
  <si>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</si>
  <si>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</si>
  <si>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</si>
  <si>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</si>
  <si>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</si>
  <si>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</si>
  <si>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</si>
  <si>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</si>
  <si>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</si>
  <si>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</si>
  <si>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</si>
  <si>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</si>
  <si>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</si>
  <si>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</si>
  <si>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</si>
  <si>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</si>
  <si>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</si>
  <si>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</si>
  <si>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</si>
  <si>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</si>
  <si>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</si>
  <si>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</si>
  <si>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</si>
  <si>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</si>
  <si>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</si>
  <si>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</si>
  <si>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</si>
  <si>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</si>
  <si>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</si>
  <si>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</si>
  <si>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</si>
  <si>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</si>
  <si>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</si>
  <si>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</si>
  <si>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</si>
  <si>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</si>
  <si>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</si>
  <si>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</si>
  <si>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</si>
  <si>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</si>
  <si>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</si>
  <si>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</si>
  <si>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</si>
  <si>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</si>
  <si>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</si>
  <si>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</si>
  <si>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</si>
  <si>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</si>
  <si>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</si>
  <si>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</si>
  <si>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</si>
  <si>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</si>
  <si>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</si>
  <si>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</si>
  <si>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</si>
  <si>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</si>
  <si>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</si>
  <si>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</si>
  <si>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</si>
  <si>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</si>
  <si>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</si>
  <si>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</si>
  <si>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</si>
  <si>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</si>
  <si>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</si>
  <si>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</si>
  <si>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</si>
  <si>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</si>
  <si>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</si>
  <si>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</si>
  <si>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</si>
  <si>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</si>
  <si>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</si>
  <si>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</si>
  <si>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</si>
  <si>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</si>
  <si>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</si>
  <si>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</si>
  <si>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</si>
  <si>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</si>
  <si>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</si>
  <si>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</si>
  <si>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</si>
  <si>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</si>
  <si>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</si>
  <si>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</si>
  <si>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</si>
  <si>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</si>
  <si>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</si>
  <si>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</si>
  <si>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</si>
  <si>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</si>
  <si>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</si>
  <si>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</si>
  <si>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</si>
  <si>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</si>
  <si>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</si>
  <si>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</si>
  <si>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</si>
  <si>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</si>
  <si>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</si>
  <si>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</si>
  <si>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</si>
  <si>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</si>
  <si>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</si>
  <si>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</si>
  <si>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</si>
  <si>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</si>
  <si>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</si>
  <si>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</si>
  <si>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</si>
  <si>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</si>
  <si>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</si>
  <si>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</si>
  <si>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</si>
  <si>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</si>
  <si>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</si>
  <si>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</si>
  <si>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</si>
  <si>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</si>
  <si>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</si>
  <si>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</si>
  <si>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</si>
  <si>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</si>
  <si>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</si>
  <si>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</si>
  <si>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</si>
  <si>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</si>
  <si>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</si>
  <si>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</si>
  <si>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</si>
  <si>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</si>
  <si>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</si>
  <si>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</si>
  <si>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</si>
  <si>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</si>
  <si>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</si>
  <si>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</si>
  <si>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</si>
  <si>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</si>
  <si>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</si>
  <si>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</si>
  <si>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</si>
  <si>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</si>
  <si>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</si>
  <si>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</si>
  <si>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</si>
  <si>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</si>
  <si>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</si>
  <si>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</si>
  <si>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</si>
  <si>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</si>
  <si>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</si>
  <si>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</si>
  <si>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</si>
  <si>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</si>
  <si>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</si>
  <si>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</si>
  <si>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</si>
  <si>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</si>
  <si>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</si>
  <si>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</si>
  <si>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</si>
  <si>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</si>
  <si>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</si>
  <si>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</si>
  <si>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</si>
  <si>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</si>
  <si>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</si>
  <si>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</si>
  <si>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</si>
  <si>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</si>
  <si>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</si>
  <si>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</si>
  <si>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</si>
  <si>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</si>
  <si>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</si>
  <si>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</si>
  <si>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</si>
  <si>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</si>
  <si>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</si>
  <si>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</si>
  <si>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</si>
  <si>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</si>
  <si>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</si>
  <si>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</si>
  <si>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</si>
  <si>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</si>
  <si>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</si>
  <si>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</si>
  <si>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</si>
  <si>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</si>
  <si>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</si>
  <si>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</si>
  <si>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</si>
  <si>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</si>
  <si>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</si>
  <si>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</si>
  <si>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</si>
  <si>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</si>
  <si>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</si>
  <si>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</si>
  <si>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</si>
  <si>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</si>
  <si>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</si>
  <si>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</si>
  <si>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</si>
  <si>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</si>
  <si>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</si>
  <si>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</si>
  <si>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</si>
  <si>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</si>
  <si>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</si>
  <si>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</si>
  <si>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</si>
  <si>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</si>
  <si>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</si>
  <si>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</si>
  <si>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</si>
  <si>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</si>
  <si>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</si>
  <si>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</si>
  <si>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</si>
  <si>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</si>
  <si>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</si>
  <si>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</si>
  <si>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</si>
  <si>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</si>
  <si>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</si>
  <si>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</si>
  <si>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</si>
  <si>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</si>
  <si>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</si>
  <si>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</si>
  <si>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</si>
  <si>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</si>
  <si>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</si>
  <si>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</si>
  <si>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</si>
  <si>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</si>
  <si>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</si>
  <si>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</si>
  <si>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</si>
  <si>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</si>
  <si>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</si>
  <si>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</si>
  <si>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</si>
  <si>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</si>
  <si>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</si>
  <si>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</si>
  <si>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</si>
  <si>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</si>
  <si>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</si>
  <si>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</si>
  <si>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</si>
  <si>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</si>
  <si>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</si>
  <si>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</si>
  <si>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</si>
  <si>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</si>
  <si>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</si>
  <si>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</si>
  <si>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</si>
  <si>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</si>
  <si>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</si>
  <si>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</si>
  <si>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</si>
  <si>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</si>
  <si>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</si>
  <si>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</si>
  <si>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</si>
  <si>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</si>
  <si>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</si>
  <si>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</si>
  <si>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</si>
  <si>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</si>
  <si>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</si>
  <si>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</si>
  <si>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</si>
  <si>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</si>
  <si>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</si>
  <si>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</si>
  <si>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</si>
  <si>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</si>
  <si>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</si>
  <si>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</si>
  <si>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</si>
  <si>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</si>
  <si>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</si>
  <si>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</si>
  <si>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</si>
  <si>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</si>
  <si>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</si>
  <si>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</si>
  <si>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</si>
  <si>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</si>
  <si>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</si>
  <si>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</si>
  <si>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</si>
  <si>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</si>
  <si>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</si>
  <si>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</si>
  <si>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</si>
  <si>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</si>
  <si>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</si>
  <si>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</si>
  <si>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</si>
  <si>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</si>
  <si>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</si>
  <si>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</si>
  <si>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</si>
  <si>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</si>
  <si>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</si>
  <si>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</si>
  <si>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</si>
  <si>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</si>
  <si>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</si>
  <si>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</si>
  <si>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</si>
  <si>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</si>
  <si>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</si>
  <si>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</si>
  <si>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</si>
  <si>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</si>
  <si>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</si>
  <si>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</si>
  <si>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</si>
  <si>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</si>
  <si>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</si>
  <si>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</si>
  <si>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</si>
  <si>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</si>
  <si>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</si>
  <si>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</si>
  <si>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</si>
  <si>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</si>
  <si>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</si>
  <si>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</si>
  <si>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</si>
  <si>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</si>
  <si>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</si>
  <si>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</si>
  <si>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</si>
  <si>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</si>
  <si>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</si>
  <si>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</si>
  <si>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</si>
  <si>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</si>
  <si>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</si>
  <si>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</si>
  <si>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</si>
  <si>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</si>
  <si>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</si>
  <si>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</si>
  <si>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</si>
  <si>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</si>
  <si>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</si>
  <si>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</si>
  <si>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</si>
  <si>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</si>
  <si>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</si>
  <si>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</si>
  <si>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</si>
  <si>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</si>
  <si>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</si>
  <si>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</si>
  <si>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</si>
  <si>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</si>
  <si>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</si>
  <si>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</si>
  <si>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</si>
  <si>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</si>
  <si>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</si>
  <si>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</si>
  <si>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</si>
  <si>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</si>
  <si>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</si>
  <si>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</si>
  <si>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</si>
  <si>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</si>
  <si>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</si>
  <si>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</si>
  <si>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</si>
  <si>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</si>
  <si>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</si>
  <si>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</si>
  <si>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</si>
  <si>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</si>
  <si>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</si>
  <si>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</si>
  <si>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</si>
  <si>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</si>
  <si>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</si>
  <si>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</si>
  <si>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</si>
  <si>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</si>
  <si>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</si>
  <si>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</si>
  <si>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</si>
  <si>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</si>
  <si>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</si>
  <si>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</si>
  <si>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</si>
  <si>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</si>
  <si>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</si>
  <si>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</si>
  <si>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</si>
  <si>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</si>
  <si>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</si>
  <si>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</si>
  <si>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</si>
  <si>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</si>
  <si>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</si>
  <si>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</si>
  <si>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</si>
  <si>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</si>
  <si>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</si>
  <si>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</si>
  <si>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</si>
  <si>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</si>
  <si>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</si>
  <si>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</si>
  <si>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</si>
  <si>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</si>
  <si>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</si>
  <si>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</si>
  <si>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</si>
  <si>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</si>
  <si>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</si>
  <si>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</si>
  <si>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</si>
  <si>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</si>
  <si>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</si>
  <si>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</si>
  <si>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</si>
  <si>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</si>
  <si>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</si>
  <si>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</si>
  <si>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</si>
  <si>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</si>
  <si>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</si>
  <si>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</si>
  <si>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</si>
  <si>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</si>
  <si>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</si>
  <si>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</si>
  <si>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</si>
  <si>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</si>
  <si>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</si>
  <si>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</si>
  <si>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</si>
  <si>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</si>
  <si>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</si>
  <si>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</si>
  <si>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</si>
  <si>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</si>
  <si>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</si>
  <si>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</si>
  <si>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</si>
  <si>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</si>
  <si>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</si>
  <si>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</si>
  <si>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</si>
  <si>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</si>
  <si>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</si>
  <si>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</si>
  <si>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</si>
  <si>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</si>
  <si>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</si>
  <si>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</si>
  <si>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</si>
  <si>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</si>
  <si>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</si>
  <si>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</si>
  <si>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</si>
  <si>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</si>
  <si>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</si>
  <si>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</si>
  <si>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</si>
  <si>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</si>
  <si>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</si>
  <si>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</si>
  <si>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</si>
  <si>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</si>
  <si>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</si>
  <si>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</si>
  <si>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</si>
  <si>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</si>
  <si>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</si>
  <si>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</si>
  <si>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</si>
  <si>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</si>
  <si>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</si>
  <si>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</si>
  <si>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</si>
  <si>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</si>
  <si>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</si>
  <si>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</si>
  <si>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</si>
  <si>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</si>
  <si>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</si>
  <si>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</si>
  <si>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</si>
  <si>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</si>
  <si>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</si>
  <si>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</si>
  <si>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</si>
  <si>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</si>
  <si>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</si>
  <si>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</si>
  <si>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</si>
  <si>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</si>
  <si>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</si>
  <si>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</si>
  <si>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</si>
  <si>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</si>
  <si>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</si>
  <si>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</si>
  <si>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</si>
  <si>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</si>
  <si>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</si>
  <si>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</si>
  <si>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</si>
  <si>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</si>
  <si>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</si>
  <si>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</si>
  <si>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</si>
  <si>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</si>
  <si>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</si>
  <si>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</si>
  <si>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</si>
  <si>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</si>
  <si>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</si>
  <si>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</si>
  <si>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</si>
  <si>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</si>
  <si>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</si>
  <si>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</si>
  <si>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</si>
  <si>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</si>
  <si>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</si>
  <si>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</si>
  <si>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</si>
  <si>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</si>
  <si>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</si>
  <si>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</si>
  <si>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</si>
  <si>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</si>
  <si>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</si>
  <si>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</si>
  <si>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</si>
  <si>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</si>
  <si>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</si>
  <si>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</si>
  <si>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</si>
  <si>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</si>
  <si>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</si>
  <si>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</si>
  <si>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</si>
  <si>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</si>
  <si>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</si>
  <si>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</si>
  <si>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</si>
  <si>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</si>
  <si>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</si>
  <si>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</si>
  <si>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</si>
  <si>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</si>
  <si>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</si>
  <si>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</si>
  <si>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</si>
  <si>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</si>
  <si>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</si>
  <si>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</si>
  <si>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</si>
  <si>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</si>
  <si>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</si>
  <si>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</si>
  <si>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</si>
  <si>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</si>
  <si>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</si>
  <si>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</si>
  <si>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</si>
  <si>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</si>
  <si>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</si>
  <si>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</si>
  <si>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</si>
  <si>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</si>
  <si>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</si>
  <si>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</si>
  <si>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</si>
  <si>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</si>
  <si>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</si>
  <si>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</si>
  <si>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</si>
  <si>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</si>
  <si>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</si>
  <si>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</si>
  <si>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</si>
  <si>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</si>
  <si>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</si>
  <si>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</si>
  <si>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</si>
  <si>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</si>
  <si>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</si>
  <si>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</si>
  <si>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</si>
  <si>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</si>
  <si>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</si>
  <si>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</si>
  <si>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</si>
  <si>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</si>
  <si>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</si>
  <si>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</si>
  <si>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</si>
  <si>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</si>
  <si>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</si>
  <si>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</si>
  <si>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</si>
  <si>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</si>
  <si>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</si>
  <si>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</si>
  <si>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</si>
  <si>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</si>
  <si>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</si>
  <si>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</si>
  <si>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</si>
  <si>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</si>
  <si>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</si>
  <si>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</si>
  <si>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</si>
  <si>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</si>
  <si>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</si>
  <si>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</si>
  <si>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</si>
  <si>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</si>
  <si>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</si>
  <si>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</si>
  <si>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</si>
  <si>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</si>
  <si>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</si>
  <si>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</si>
  <si>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</si>
  <si>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</si>
  <si>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</si>
  <si>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</si>
  <si>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</si>
  <si>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</si>
  <si>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</si>
  <si>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</si>
  <si>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</si>
  <si>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</si>
  <si>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</si>
  <si>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</si>
  <si>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</si>
  <si>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</si>
  <si>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</si>
  <si>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</si>
  <si>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</si>
  <si>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</si>
  <si>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</si>
  <si>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</si>
  <si>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</si>
  <si>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</si>
  <si>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</si>
  <si>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</si>
  <si>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</si>
  <si>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</si>
  <si>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</si>
  <si>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</si>
  <si>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</si>
  <si>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</si>
  <si>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</si>
  <si>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</si>
  <si>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</si>
  <si>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</si>
  <si>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</si>
  <si>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</si>
  <si>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</si>
  <si>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</si>
  <si>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</si>
  <si>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</si>
  <si>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</si>
  <si>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</si>
  <si>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</si>
  <si>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</si>
  <si>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</si>
  <si>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</si>
  <si>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</si>
  <si>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</si>
  <si>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</si>
  <si>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</si>
  <si>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</si>
  <si>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</si>
  <si>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</si>
  <si>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</si>
  <si>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</si>
  <si>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</si>
  <si>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</si>
  <si>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</si>
  <si>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</si>
  <si>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</si>
  <si>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</si>
  <si>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</si>
  <si>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</si>
  <si>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</si>
  <si>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</si>
  <si>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</si>
  <si>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</si>
  <si>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</si>
  <si>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</si>
  <si>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</si>
  <si>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</si>
  <si>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</si>
  <si>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</si>
  <si>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</si>
  <si>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</si>
  <si>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</si>
  <si>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</si>
  <si>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</si>
  <si>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</si>
  <si>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</si>
  <si>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</si>
  <si>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</si>
  <si>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</si>
  <si>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</si>
  <si>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</si>
  <si>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</si>
  <si>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</si>
  <si>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</si>
  <si>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</si>
  <si>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</si>
  <si>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</si>
  <si>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</si>
  <si>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</si>
  <si>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</si>
  <si>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</si>
  <si>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</si>
  <si>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</si>
  <si>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</si>
  <si>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</si>
  <si>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</si>
  <si>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</si>
  <si>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</si>
  <si>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</si>
  <si>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</si>
  <si>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</si>
  <si>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</si>
  <si>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</si>
  <si>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</si>
  <si>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</si>
  <si>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</si>
  <si>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</si>
  <si>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</si>
  <si>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</si>
  <si>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</si>
  <si>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</si>
  <si>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</si>
  <si>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</si>
  <si>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</si>
  <si>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</si>
  <si>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</si>
  <si>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</si>
  <si>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</si>
  <si>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</si>
  <si>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</si>
  <si>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</si>
  <si>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</si>
  <si>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</si>
  <si>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</si>
  <si>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</si>
  <si>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</si>
  <si>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</si>
  <si>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</si>
  <si>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</si>
  <si>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</si>
  <si>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</si>
  <si>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</si>
  <si>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</si>
  <si>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</si>
  <si>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</si>
  <si>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</si>
  <si>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</si>
  <si>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</si>
  <si>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</si>
  <si>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</si>
  <si>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</si>
  <si>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</si>
  <si>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</si>
  <si>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</si>
  <si>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</si>
  <si>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</si>
  <si>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</si>
  <si>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</si>
  <si>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</si>
  <si>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</si>
  <si>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</si>
  <si>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</si>
  <si>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</si>
  <si>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</si>
  <si>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</si>
  <si>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</si>
  <si>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</si>
  <si>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</si>
  <si>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</si>
  <si>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</si>
  <si>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</si>
  <si>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</si>
  <si>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</si>
  <si>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</si>
  <si>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</si>
  <si>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</si>
  <si>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</si>
  <si>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</si>
  <si>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</si>
  <si>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</si>
  <si>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</si>
  <si>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</si>
  <si>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</si>
  <si>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</si>
  <si>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</si>
  <si>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</si>
  <si>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</si>
  <si>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</si>
  <si>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</si>
  <si>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</si>
  <si>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</si>
  <si>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</si>
  <si>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</si>
  <si>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</si>
  <si>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</si>
  <si>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</si>
  <si>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</si>
  <si>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</si>
  <si>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</si>
  <si>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</si>
  <si>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</si>
  <si>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</si>
  <si>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</si>
  <si>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</si>
  <si>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</si>
  <si>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</si>
  <si>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</si>
  <si>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</si>
  <si>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</si>
  <si>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</si>
  <si>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</si>
  <si>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</si>
  <si>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</si>
  <si>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</si>
  <si>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</si>
  <si>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</si>
  <si>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</si>
  <si>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</si>
  <si>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</si>
  <si>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</si>
  <si>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</si>
  <si>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</si>
  <si>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</si>
  <si>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</si>
  <si>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</si>
  <si>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</si>
  <si>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</si>
  <si>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</si>
  <si>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</si>
  <si>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</si>
  <si>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</si>
  <si>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</si>
  <si>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</si>
  <si>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</si>
  <si>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</si>
  <si>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</si>
  <si>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</si>
  <si>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</si>
  <si>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</si>
  <si>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</si>
  <si>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</si>
  <si>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</si>
  <si>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</si>
  <si>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</si>
  <si>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</si>
  <si>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</si>
  <si>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</si>
  <si>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</si>
  <si>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</si>
  <si>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</si>
  <si>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</si>
  <si>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</si>
  <si>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</si>
  <si>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</si>
  <si>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</si>
  <si>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</si>
  <si>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</si>
  <si>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</si>
  <si>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</si>
  <si>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</si>
  <si>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</si>
  <si>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</si>
  <si>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</si>
  <si>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</si>
  <si>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</si>
  <si>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</si>
  <si>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</si>
  <si>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</si>
  <si>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</si>
  <si>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</si>
  <si>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</si>
  <si>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</si>
  <si>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</si>
  <si>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</si>
  <si>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</si>
  <si>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</si>
  <si>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</si>
  <si>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</si>
  <si>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</si>
  <si>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</si>
  <si>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</si>
  <si>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</si>
  <si>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</si>
  <si>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</si>
  <si>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</si>
  <si>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</si>
  <si>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</si>
  <si>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</si>
  <si>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</si>
  <si>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</si>
  <si>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</si>
  <si>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</si>
  <si>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</si>
  <si>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</si>
  <si>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</si>
  <si>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</si>
  <si>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</si>
  <si>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</si>
  <si>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</si>
  <si>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</si>
  <si>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</si>
  <si>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</si>
  <si>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</si>
  <si>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</si>
  <si>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</si>
  <si>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</si>
  <si>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</si>
  <si>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</si>
  <si>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</si>
  <si>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</si>
  <si>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</si>
  <si>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</si>
  <si>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</si>
  <si>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</si>
  <si>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</si>
  <si>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</si>
  <si>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</si>
  <si>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</si>
  <si>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</si>
  <si>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</si>
  <si>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</si>
  <si>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</si>
  <si>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</si>
  <si>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</si>
  <si>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</si>
  <si>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</si>
  <si>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</si>
  <si>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</si>
  <si>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</si>
  <si>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</si>
  <si>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</si>
  <si>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</si>
  <si>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</si>
  <si>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</si>
  <si>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</si>
  <si>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</si>
  <si>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</si>
  <si>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</si>
  <si>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</si>
  <si>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</si>
  <si>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</si>
  <si>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</si>
  <si>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</si>
  <si>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</si>
  <si>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</si>
  <si>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</si>
  <si>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</si>
  <si>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</si>
  <si>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</si>
  <si>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</si>
  <si>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</si>
  <si>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</si>
  <si>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</si>
  <si>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</si>
  <si>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</si>
  <si>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</si>
  <si>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</si>
  <si>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</si>
  <si>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</si>
  <si>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</si>
  <si>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</si>
  <si>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</si>
  <si>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</si>
  <si>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</si>
  <si>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</si>
  <si>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</si>
  <si>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</si>
  <si>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</si>
  <si>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</si>
  <si>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</si>
  <si>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</si>
  <si>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</si>
  <si>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</si>
  <si>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</si>
  <si>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</si>
  <si>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</si>
  <si>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</si>
  <si>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</si>
  <si>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</si>
  <si>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</si>
  <si>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</si>
  <si>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</si>
  <si>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</si>
  <si>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</si>
  <si>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</si>
  <si>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</si>
  <si>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</si>
  <si>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</si>
  <si>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</si>
  <si>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</si>
  <si>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</si>
  <si>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</si>
  <si>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</si>
  <si>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</si>
  <si>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</si>
  <si>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</si>
  <si>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</si>
  <si>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</si>
  <si>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</si>
  <si>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</si>
  <si>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</si>
  <si>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</si>
  <si>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</si>
  <si>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</si>
  <si>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</si>
  <si>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</si>
  <si>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</si>
  <si>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</si>
  <si>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</si>
  <si>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</si>
  <si>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</si>
  <si>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</si>
  <si>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</si>
  <si>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</si>
  <si>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</si>
  <si>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</si>
  <si>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</si>
  <si>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</si>
  <si>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</si>
  <si>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</si>
  <si>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</si>
  <si>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</si>
  <si>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</si>
  <si>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</si>
  <si>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</si>
  <si>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</si>
  <si>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</si>
  <si>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</si>
  <si>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</si>
  <si>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</si>
  <si>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</si>
  <si>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</si>
  <si>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</si>
  <si>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</si>
  <si>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</si>
  <si>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</si>
  <si>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</si>
  <si>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</si>
  <si>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</si>
  <si>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</si>
  <si>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</si>
  <si>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</si>
  <si>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</si>
  <si>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</si>
  <si>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</si>
  <si>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</si>
  <si>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</si>
  <si>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</si>
  <si>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</si>
  <si>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</si>
  <si>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</si>
  <si>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</si>
  <si>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</si>
  <si>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</si>
  <si>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</si>
  <si>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</si>
  <si>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</si>
  <si>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</si>
  <si>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</si>
  <si>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</si>
  <si>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</si>
  <si>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</si>
  <si>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</si>
  <si>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</si>
  <si>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</si>
  <si>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</si>
  <si>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</si>
  <si>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</si>
  <si>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</si>
  <si>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</si>
  <si>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</si>
  <si>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</si>
  <si>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</si>
  <si>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</si>
  <si>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</si>
  <si>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</si>
  <si>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</si>
  <si>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</si>
  <si>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</si>
  <si>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</si>
  <si>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</si>
  <si>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</si>
  <si>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</si>
  <si>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</si>
  <si>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</si>
  <si>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</si>
  <si>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</si>
  <si>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</si>
  <si>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</si>
  <si>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</si>
  <si>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</si>
  <si>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</si>
  <si>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</si>
  <si>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</si>
  <si>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</si>
  <si>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</si>
  <si>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</si>
  <si>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</si>
  <si>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</si>
  <si>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</si>
  <si>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</si>
  <si>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</si>
  <si>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</si>
  <si>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</si>
  <si>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</si>
  <si>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</si>
  <si>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</si>
  <si>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</si>
  <si>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</si>
  <si>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</si>
  <si>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</si>
  <si>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</si>
  <si>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</si>
  <si>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</si>
  <si>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</si>
  <si>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</si>
  <si>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</si>
  <si>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</si>
  <si>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</si>
  <si>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</si>
  <si>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</si>
  <si>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</si>
  <si>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</si>
  <si>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</si>
  <si>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</si>
  <si>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</si>
  <si>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</si>
  <si>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</si>
  <si>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</si>
  <si>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</si>
  <si>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</si>
  <si>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</si>
  <si>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</si>
  <si>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</si>
  <si>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</si>
  <si>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</si>
  <si>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</si>
  <si>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</si>
  <si>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</si>
  <si>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</si>
  <si>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</si>
  <si>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</si>
  <si>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</si>
  <si>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</si>
  <si>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</si>
  <si>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</si>
  <si>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</si>
  <si>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</si>
  <si>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</si>
  <si>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</si>
  <si>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</si>
  <si>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</si>
  <si>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</si>
  <si>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</si>
  <si>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</si>
  <si>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</si>
  <si>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</si>
  <si>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</si>
  <si>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</si>
  <si>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</si>
  <si>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</si>
  <si>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</si>
  <si>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</si>
  <si>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</si>
  <si>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</si>
  <si>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</si>
  <si>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</si>
  <si>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</si>
  <si>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</si>
  <si>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</si>
  <si>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</si>
  <si>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</si>
  <si>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</si>
  <si>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</si>
  <si>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</si>
  <si>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</si>
  <si>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</si>
  <si>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</si>
  <si>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</si>
  <si>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</si>
  <si>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</si>
  <si>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</si>
  <si>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</si>
  <si>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</si>
  <si>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</si>
  <si>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</si>
  <si>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</si>
  <si>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</si>
  <si>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</si>
  <si>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</si>
  <si>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</si>
  <si>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</si>
  <si>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</si>
  <si>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</si>
  <si>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</si>
  <si>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</si>
  <si>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</si>
  <si>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</si>
  <si>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</si>
  <si>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</si>
  <si>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</si>
  <si>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</si>
  <si>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</si>
  <si>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</si>
  <si>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</si>
  <si>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</si>
  <si>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</si>
  <si>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</si>
  <si>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</si>
  <si>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</si>
  <si>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</si>
  <si>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</si>
  <si>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</si>
  <si>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</si>
  <si>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</si>
  <si>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</si>
  <si>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</si>
  <si>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</si>
  <si>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</si>
  <si>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</si>
  <si>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</si>
  <si>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</si>
  <si>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</si>
  <si>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</si>
  <si>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</si>
  <si>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</si>
  <si>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</si>
  <si>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</si>
  <si>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</si>
  <si>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</si>
  <si>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</si>
  <si>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</si>
  <si>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</si>
  <si>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</si>
  <si>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</si>
  <si>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</si>
  <si>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</si>
  <si>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</si>
  <si>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</si>
  <si>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</si>
  <si>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</si>
  <si>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</si>
  <si>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</si>
  <si>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</si>
  <si>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</si>
  <si>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</si>
  <si>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</si>
  <si>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</si>
  <si>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</si>
  <si>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</si>
  <si>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</si>
  <si>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</si>
  <si>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</si>
  <si>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</si>
  <si>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</si>
  <si>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</si>
  <si>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</si>
  <si>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</si>
  <si>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</si>
  <si>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</si>
  <si>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</si>
  <si>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</si>
  <si>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</si>
  <si>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</si>
  <si>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</si>
  <si>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</si>
  <si>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</si>
  <si>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</si>
  <si>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</si>
  <si>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</si>
  <si>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</si>
  <si>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</si>
  <si>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</si>
  <si>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</si>
  <si>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</si>
  <si>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</si>
  <si>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</si>
  <si>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</si>
  <si>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</si>
  <si>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</si>
  <si>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</si>
  <si>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</si>
  <si>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</si>
  <si>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</si>
  <si>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</si>
  <si>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</si>
  <si>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</si>
  <si>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</si>
  <si>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</si>
  <si>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</si>
  <si>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</si>
  <si>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</si>
  <si>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</si>
  <si>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</si>
  <si>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</si>
  <si>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</si>
  <si>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</si>
  <si>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</si>
  <si>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</si>
  <si>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</si>
  <si>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</si>
  <si>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</si>
  <si>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</si>
  <si>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</si>
  <si>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</si>
  <si>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</si>
  <si>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</si>
  <si>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</si>
  <si>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</si>
  <si>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</si>
  <si>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</si>
  <si>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</si>
  <si>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</si>
  <si>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</si>
  <si>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</si>
  <si>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</si>
  <si>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</si>
  <si>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</si>
  <si>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</si>
  <si>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</si>
  <si>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</si>
  <si>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</si>
  <si>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</si>
  <si>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</si>
  <si>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</si>
  <si>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</si>
  <si>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</si>
  <si>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</si>
  <si>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</si>
  <si>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</si>
  <si>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</si>
  <si>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</si>
  <si>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</si>
  <si>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</si>
  <si>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</si>
  <si>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</si>
  <si>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</si>
  <si>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</si>
  <si>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</si>
  <si>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</si>
  <si>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</si>
  <si>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</si>
  <si>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</si>
  <si>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</si>
  <si>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</si>
  <si>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</si>
  <si>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</si>
  <si>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</si>
  <si>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</si>
  <si>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</si>
  <si>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</si>
  <si>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</si>
  <si>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</si>
  <si>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</si>
  <si>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</si>
  <si>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</si>
  <si>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</si>
  <si>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</si>
  <si>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</si>
  <si>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</si>
  <si>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</si>
  <si>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</si>
  <si>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</si>
  <si>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</si>
  <si>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</si>
  <si>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</si>
  <si>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</si>
  <si>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</si>
  <si>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</si>
  <si>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</si>
  <si>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</si>
  <si>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</si>
  <si>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</si>
  <si>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</si>
  <si>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</si>
  <si>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</si>
  <si>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</si>
  <si>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</si>
  <si>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</si>
  <si>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</si>
  <si>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</si>
  <si>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</si>
  <si>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</si>
  <si>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</si>
  <si>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</si>
  <si>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</si>
  <si>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</si>
  <si>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</si>
  <si>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</si>
  <si>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</si>
  <si>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</si>
  <si>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</si>
  <si>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</si>
  <si>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</si>
  <si>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</si>
  <si>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</si>
  <si>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</si>
  <si>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</si>
  <si>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</si>
  <si>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</si>
  <si>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</si>
  <si>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</si>
  <si>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</si>
  <si>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</si>
  <si>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</si>
  <si>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</si>
  <si>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</si>
  <si>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</si>
  <si>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</si>
  <si>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</si>
  <si>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</si>
  <si>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</si>
  <si>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</si>
  <si>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</si>
  <si>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</si>
  <si>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</si>
  <si>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</si>
  <si>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</si>
  <si>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</si>
  <si>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</si>
  <si>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</si>
  <si>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</si>
  <si>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</si>
  <si>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</si>
  <si>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</si>
  <si>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</si>
  <si>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</si>
  <si>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</si>
  <si>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</si>
  <si>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</si>
  <si>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</si>
  <si>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</si>
  <si>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</si>
  <si>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</si>
  <si>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</si>
  <si>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</si>
  <si>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</si>
  <si>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</si>
  <si>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</si>
  <si>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</si>
  <si>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</si>
  <si>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</si>
  <si>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</si>
  <si>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</si>
  <si>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</si>
  <si>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</si>
  <si>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</si>
  <si>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</si>
  <si>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</si>
  <si>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</si>
  <si>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</si>
  <si>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</si>
  <si>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</si>
  <si>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</si>
  <si>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</si>
  <si>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</si>
  <si>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</si>
  <si>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</si>
  <si>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</si>
  <si>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</si>
  <si>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</si>
  <si>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</si>
  <si>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</si>
  <si>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</si>
  <si>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</si>
  <si>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</si>
  <si>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</si>
  <si>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</si>
  <si>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</si>
  <si>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</si>
  <si>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</si>
  <si>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</si>
  <si>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</si>
  <si>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</si>
  <si>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</si>
  <si>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</si>
  <si>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</si>
  <si>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</si>
  <si>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</si>
  <si>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</si>
  <si>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</si>
  <si>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</si>
  <si>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</si>
  <si>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</si>
  <si>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</si>
  <si>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</si>
  <si>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</si>
  <si>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</si>
  <si>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</si>
  <si>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</si>
  <si>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</si>
  <si>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</si>
  <si>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</si>
  <si>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</si>
  <si>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</si>
  <si>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</si>
  <si>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</si>
  <si>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</si>
  <si>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</si>
  <si>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</si>
  <si>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</si>
  <si>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</si>
  <si>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</si>
  <si>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</si>
  <si>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</si>
  <si>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</si>
  <si>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</si>
  <si>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</si>
  <si>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</si>
  <si>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</si>
  <si>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</si>
  <si>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</si>
  <si>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</si>
  <si>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</si>
  <si>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</si>
  <si>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</si>
  <si>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</si>
  <si>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</si>
  <si>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</si>
  <si>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</si>
  <si>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</si>
  <si>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</si>
  <si>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</si>
  <si>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</si>
  <si>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</si>
  <si>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</si>
  <si>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</si>
  <si>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</si>
  <si>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</si>
  <si>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</si>
  <si>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</si>
  <si>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</si>
  <si>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</si>
  <si>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</si>
  <si>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</si>
  <si>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</si>
  <si>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</si>
  <si>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</si>
  <si>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</si>
  <si>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</si>
  <si>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</si>
  <si>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</si>
  <si>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</si>
  <si>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</si>
  <si>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</si>
  <si>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</si>
  <si>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</si>
  <si>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</si>
  <si>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</si>
  <si>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</si>
  <si>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</si>
  <si>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</si>
  <si>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</si>
  <si>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</si>
  <si>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</si>
  <si>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</si>
  <si>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</si>
  <si>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</si>
  <si>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</si>
  <si>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</si>
  <si>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</si>
  <si>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</si>
  <si>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</si>
  <si>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</si>
  <si>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</si>
  <si>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</si>
  <si>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</si>
  <si>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</si>
  <si>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</si>
  <si>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</si>
  <si>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</si>
  <si>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</si>
  <si>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</si>
  <si>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</si>
  <si>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</si>
  <si>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</si>
  <si>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</si>
  <si>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</si>
  <si>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</si>
  <si>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</si>
  <si>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</si>
  <si>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</si>
  <si>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</si>
  <si>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</si>
  <si>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</si>
  <si>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</si>
  <si>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</si>
  <si>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</si>
  <si>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</si>
  <si>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</si>
  <si>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</si>
  <si>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</si>
  <si>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</si>
  <si>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</si>
  <si>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</si>
  <si>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</si>
  <si>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</si>
  <si>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</si>
  <si>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</si>
  <si>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</si>
  <si>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</si>
  <si>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</si>
  <si>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</si>
  <si>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</si>
  <si>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</si>
  <si>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</si>
  <si>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</si>
  <si>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</si>
  <si>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</si>
  <si>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</si>
  <si>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</si>
  <si>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</si>
  <si>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</si>
  <si>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</si>
  <si>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</si>
  <si>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</si>
  <si>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</si>
  <si>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</si>
  <si>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</si>
  <si>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</si>
  <si>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</si>
  <si>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</si>
  <si>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</si>
  <si>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</si>
  <si>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</si>
  <si>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</si>
  <si>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</si>
  <si>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</si>
  <si>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</si>
  <si>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</si>
  <si>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</si>
  <si>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</si>
  <si>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</si>
  <si>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</si>
  <si>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</si>
  <si>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</si>
  <si>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</si>
  <si>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</si>
  <si>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</si>
  <si>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</si>
  <si>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</si>
  <si>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</si>
  <si>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</si>
  <si>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</si>
  <si>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</si>
  <si>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</si>
  <si>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</si>
  <si>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</si>
  <si>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</si>
  <si>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</si>
  <si>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</si>
  <si>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</si>
  <si>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</si>
  <si>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</si>
  <si>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</si>
  <si>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</si>
  <si>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</si>
  <si>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</si>
  <si>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</si>
  <si>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</si>
  <si>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</si>
  <si>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</si>
  <si>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</si>
  <si>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</si>
  <si>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</si>
  <si>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</si>
  <si>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</si>
  <si>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</si>
  <si>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</si>
  <si>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</si>
  <si>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</si>
  <si>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</si>
  <si>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</si>
  <si>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</si>
  <si>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</si>
  <si>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</si>
  <si>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</si>
  <si>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</si>
  <si>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</si>
  <si>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</si>
  <si>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</si>
  <si>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</si>
  <si>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</si>
  <si>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</si>
  <si>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</si>
  <si>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</si>
  <si>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</si>
  <si>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</si>
  <si>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</si>
  <si>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</si>
  <si>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</si>
  <si>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</si>
  <si>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</si>
  <si>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</si>
  <si>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</si>
  <si>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</si>
  <si>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</si>
  <si>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</si>
  <si>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</si>
  <si>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</si>
  <si>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</si>
  <si>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</si>
  <si>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</si>
  <si>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</si>
  <si>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</si>
  <si>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</si>
  <si>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</si>
  <si>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</si>
  <si>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</si>
  <si>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</si>
  <si>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</si>
  <si>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</si>
  <si>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</si>
  <si>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</si>
  <si>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</si>
  <si>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</si>
  <si>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</si>
  <si>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</si>
  <si>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</si>
  <si>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</si>
  <si>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</si>
  <si>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</si>
  <si>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</si>
  <si>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</si>
  <si>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</si>
  <si>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</si>
  <si>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</si>
  <si>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</si>
  <si>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</si>
  <si>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</si>
  <si>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</si>
  <si>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</si>
  <si>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</si>
  <si>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</si>
  <si>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</si>
  <si>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</si>
  <si>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</si>
  <si>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</si>
  <si>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</si>
  <si>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</si>
  <si>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</si>
  <si>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</si>
  <si>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</si>
  <si>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</si>
  <si>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</si>
  <si>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</si>
  <si>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</si>
  <si>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</si>
  <si>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</si>
  <si>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</si>
  <si>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</si>
  <si>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</si>
  <si>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</si>
  <si>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</si>
  <si>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</si>
  <si>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</si>
  <si>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</si>
  <si>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</si>
  <si>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</si>
  <si>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</si>
  <si>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</si>
  <si>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</si>
  <si>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</si>
  <si>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</si>
  <si>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</si>
  <si>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</si>
  <si>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</si>
  <si>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</si>
  <si>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</si>
  <si>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</si>
  <si>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</si>
  <si>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</si>
  <si>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</si>
  <si>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</si>
  <si>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</si>
  <si>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</si>
  <si>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</si>
  <si>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</si>
  <si>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</si>
  <si>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</si>
  <si>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</si>
  <si>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</si>
  <si>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</si>
  <si>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</si>
  <si>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</si>
  <si>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</si>
  <si>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</si>
  <si>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</si>
  <si>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</si>
  <si>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</si>
  <si>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</si>
  <si>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</si>
  <si>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</si>
  <si>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</si>
  <si>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</si>
  <si>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</si>
  <si>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</si>
  <si>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</si>
  <si>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</si>
  <si>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</si>
  <si>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</si>
  <si>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</si>
  <si>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</si>
  <si>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</si>
  <si>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</si>
  <si>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</si>
  <si>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</si>
  <si>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</si>
  <si>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</si>
  <si>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</si>
  <si>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</si>
  <si>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</si>
  <si>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</si>
  <si>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</si>
  <si>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</si>
  <si>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</si>
  <si>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</si>
  <si>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</si>
  <si>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</si>
  <si>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</si>
  <si>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</si>
  <si>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</si>
  <si>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</si>
  <si>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</si>
  <si>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</si>
  <si>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</si>
  <si>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</si>
  <si>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</si>
  <si>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</si>
  <si>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</si>
  <si>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</si>
  <si>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</si>
  <si>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</si>
  <si>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</si>
  <si>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</si>
  <si>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</si>
  <si>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</si>
  <si>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</si>
  <si>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</si>
  <si>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</si>
  <si>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</si>
  <si>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</si>
  <si>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</si>
  <si>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</si>
  <si>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</si>
  <si>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</si>
  <si>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</si>
  <si>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</si>
  <si>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</si>
  <si>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</si>
  <si>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</si>
  <si>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</si>
  <si>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</si>
  <si>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</si>
  <si>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</si>
  <si>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</si>
  <si>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</si>
  <si>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</si>
  <si>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</si>
  <si>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</si>
  <si>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</si>
  <si>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</si>
  <si>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</si>
  <si>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</si>
  <si>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</si>
  <si>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</si>
  <si>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</si>
  <si>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</si>
  <si>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</si>
  <si>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</si>
  <si>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</si>
  <si>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</si>
  <si>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</si>
  <si>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</si>
  <si>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</si>
  <si>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</si>
  <si>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</si>
  <si>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</si>
  <si>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</si>
  <si>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</si>
  <si>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</si>
  <si>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</si>
  <si>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</si>
  <si>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</si>
  <si>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</si>
  <si>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</si>
  <si>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</si>
  <si>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</si>
  <si>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</si>
  <si>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</si>
  <si>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</si>
  <si>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</si>
  <si>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</si>
  <si>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</si>
  <si>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</si>
  <si>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</si>
  <si>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</si>
  <si>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</si>
  <si>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</si>
  <si>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</si>
  <si>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</si>
  <si>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</si>
  <si>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</si>
  <si>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</si>
  <si>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</si>
  <si>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</si>
  <si>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</si>
  <si>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</si>
  <si>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</si>
  <si>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</si>
  <si>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</si>
  <si>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</si>
  <si>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</si>
  <si>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</si>
  <si>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</si>
  <si>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</si>
  <si>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</si>
  <si>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</si>
  <si>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</si>
  <si>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</si>
  <si>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</si>
  <si>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</si>
  <si>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</si>
  <si>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</si>
  <si>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</si>
  <si>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</si>
  <si>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</si>
  <si>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</si>
  <si>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</si>
  <si>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</si>
  <si>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</si>
  <si>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</si>
  <si>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</si>
  <si>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</si>
  <si>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</si>
  <si>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</si>
  <si>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</si>
  <si>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</si>
  <si>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</si>
  <si>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</si>
  <si>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</si>
  <si>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</si>
  <si>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</si>
  <si>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</si>
  <si>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</si>
  <si>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</si>
  <si>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</si>
  <si>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</si>
  <si>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</si>
  <si>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</si>
  <si>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</si>
  <si>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</si>
  <si>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</si>
  <si>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</si>
  <si>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</si>
  <si>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</si>
  <si>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</si>
  <si>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</si>
  <si>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</si>
  <si>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</si>
  <si>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</si>
  <si>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</si>
  <si>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</si>
  <si>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</si>
  <si>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</si>
  <si>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</si>
  <si>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</si>
  <si>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</si>
  <si>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</si>
  <si>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</si>
  <si>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</si>
  <si>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</si>
  <si>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</si>
  <si>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</si>
  <si>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</si>
  <si>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</si>
  <si>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</si>
  <si>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</si>
  <si>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</si>
  <si>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</si>
  <si>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</si>
  <si>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</si>
  <si>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</si>
  <si>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</si>
  <si>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</si>
  <si>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</si>
  <si>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</si>
  <si>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</si>
  <si>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</si>
  <si>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</si>
  <si>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</si>
  <si>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</si>
  <si>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</si>
  <si>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</si>
  <si>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</si>
  <si>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</si>
  <si>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</si>
  <si>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</si>
  <si>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</si>
  <si>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</si>
  <si>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</si>
  <si>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</si>
  <si>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</si>
  <si>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</si>
  <si>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</si>
  <si>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</si>
  <si>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</si>
  <si>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</si>
  <si>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</si>
  <si>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</si>
  <si>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</si>
  <si>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</si>
  <si>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</si>
  <si>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</si>
  <si>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</si>
  <si>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</si>
  <si>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</si>
  <si>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</si>
  <si>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</si>
  <si>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</si>
  <si>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</si>
  <si>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</si>
  <si>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</si>
  <si>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</si>
  <si>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</si>
  <si>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</si>
  <si>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</si>
  <si>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</si>
  <si>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</si>
  <si>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</si>
  <si>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</si>
  <si>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</si>
  <si>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</si>
  <si>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</si>
  <si>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</si>
  <si>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</si>
  <si>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</si>
  <si>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</si>
  <si>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</si>
  <si>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</si>
  <si>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</si>
  <si>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</si>
  <si>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</si>
  <si>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</si>
  <si>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</si>
  <si>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</si>
  <si>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</si>
  <si>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</si>
  <si>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</si>
  <si>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</si>
  <si>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</si>
  <si>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</si>
  <si>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</si>
  <si>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</si>
  <si>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</si>
  <si>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</si>
  <si>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</si>
  <si>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</si>
  <si>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</si>
  <si>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</si>
  <si>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</si>
  <si>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</si>
  <si>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</si>
  <si>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</si>
  <si>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</si>
  <si>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</si>
  <si>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</si>
  <si>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</si>
  <si>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</si>
  <si>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</si>
  <si>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</si>
  <si>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</si>
  <si>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</si>
  <si>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</si>
  <si>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</si>
  <si>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</si>
  <si>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</si>
  <si>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</si>
  <si>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</si>
  <si>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</si>
  <si>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</si>
  <si>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</si>
  <si>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</si>
  <si>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</si>
  <si>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</si>
  <si>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</si>
  <si>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</si>
  <si>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</si>
  <si>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</si>
  <si>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</si>
  <si>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</si>
  <si>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</si>
  <si>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</si>
  <si>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</si>
  <si>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</si>
  <si>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</si>
  <si>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</si>
  <si>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</si>
  <si>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</si>
  <si>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</si>
  <si>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</si>
  <si>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</si>
  <si>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</si>
  <si>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</si>
  <si>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</si>
  <si>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</si>
  <si>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</si>
  <si>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</si>
  <si>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</si>
  <si>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</si>
  <si>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</si>
  <si>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</si>
  <si>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</si>
  <si>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</si>
  <si>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</si>
  <si>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</si>
  <si>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</si>
  <si>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</si>
  <si>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</si>
  <si>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</si>
  <si>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</si>
  <si>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</si>
  <si>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</si>
  <si>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</si>
  <si>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</si>
  <si>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</si>
  <si>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</si>
  <si>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</si>
  <si>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</si>
  <si>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</si>
  <si>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</si>
  <si>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</si>
  <si>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</si>
  <si>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</si>
  <si>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</si>
  <si>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</si>
  <si>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</si>
  <si>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</si>
  <si>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</si>
  <si>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</si>
  <si>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</si>
  <si>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</si>
  <si>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</si>
  <si>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</si>
  <si>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</si>
  <si>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</si>
  <si>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</si>
  <si>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</si>
  <si>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</si>
  <si>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</si>
  <si>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</si>
  <si>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</si>
  <si>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</si>
  <si>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</si>
  <si>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</si>
  <si>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</si>
  <si>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</si>
  <si>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</si>
  <si>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</si>
  <si>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</si>
  <si>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</si>
  <si>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</si>
  <si>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</si>
  <si>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</si>
  <si>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</si>
  <si>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</si>
  <si>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</si>
  <si>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</si>
  <si>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</si>
  <si>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</si>
  <si>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</si>
  <si>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</si>
  <si>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</si>
  <si>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</si>
  <si>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</si>
  <si>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</si>
  <si>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</si>
  <si>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</si>
  <si>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</si>
  <si>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</si>
  <si>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</si>
  <si>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</si>
  <si>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</si>
  <si>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</si>
  <si>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</si>
  <si>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</si>
  <si>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</si>
  <si>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</si>
  <si>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</si>
  <si>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</si>
  <si>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</si>
  <si>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</si>
  <si>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</si>
  <si>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</si>
  <si>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</si>
  <si>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</si>
  <si>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</si>
  <si>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</si>
  <si>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</si>
  <si>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</si>
  <si>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</si>
  <si>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</si>
  <si>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</si>
  <si>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</si>
  <si>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</si>
  <si>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</si>
  <si>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</si>
  <si>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</si>
  <si>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</si>
  <si>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</si>
  <si>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</si>
  <si>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</si>
  <si>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</si>
  <si>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</si>
  <si>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</si>
  <si>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</si>
  <si>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</si>
  <si>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</si>
  <si>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</si>
  <si>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</si>
  <si>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</si>
  <si>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</si>
  <si>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</si>
  <si>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</si>
  <si>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</si>
  <si>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</si>
  <si>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</si>
  <si>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</si>
  <si>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</si>
  <si>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</si>
  <si>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</si>
  <si>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</si>
  <si>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</si>
  <si>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</si>
  <si>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</si>
  <si>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</si>
  <si>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</si>
  <si>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</si>
  <si>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</si>
  <si>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</si>
  <si>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</si>
  <si>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</si>
  <si>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</si>
  <si>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</si>
  <si>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</si>
  <si>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</si>
  <si>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</si>
  <si>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</si>
  <si>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</si>
  <si>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</si>
  <si>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</si>
  <si>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</si>
  <si>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</si>
  <si>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</si>
  <si>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</si>
  <si>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</si>
  <si>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</si>
  <si>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</si>
  <si>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</si>
  <si>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</si>
  <si>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</si>
  <si>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</si>
  <si>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</si>
  <si>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</si>
  <si>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</si>
  <si>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</si>
  <si>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</si>
  <si>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</si>
  <si>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</si>
  <si>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</si>
  <si>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</si>
  <si>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</si>
  <si>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</si>
  <si>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</si>
  <si>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</si>
  <si>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</si>
  <si>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</si>
  <si>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</si>
  <si>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</si>
  <si>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</si>
  <si>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</si>
  <si>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</si>
  <si>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</si>
  <si>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</si>
  <si>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</si>
  <si>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</si>
  <si>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</si>
  <si>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</si>
  <si>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</si>
  <si>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</si>
  <si>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</si>
  <si>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</si>
  <si>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</si>
  <si>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</si>
  <si>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</si>
  <si>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</si>
  <si>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</si>
  <si>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</si>
  <si>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</si>
  <si>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</si>
  <si>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</si>
  <si>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</si>
  <si>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</si>
  <si>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</si>
  <si>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</si>
  <si>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</si>
  <si>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</si>
  <si>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</si>
  <si>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</si>
  <si>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</si>
  <si>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</si>
  <si>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</si>
  <si>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</si>
  <si>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</si>
  <si>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</si>
  <si>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</si>
  <si>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</si>
  <si>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</si>
  <si>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</si>
  <si>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</si>
  <si>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</si>
  <si>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</si>
  <si>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</si>
  <si>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</si>
  <si>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</si>
  <si>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</si>
  <si>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</si>
  <si>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</si>
  <si>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</si>
  <si>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</si>
  <si>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</si>
  <si>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</si>
  <si>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</si>
  <si>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</si>
  <si>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</si>
  <si>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</si>
  <si>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</si>
  <si>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</si>
  <si>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</si>
  <si>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</si>
  <si>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</si>
  <si>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</si>
  <si>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</si>
  <si>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</si>
  <si>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</si>
  <si>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</si>
  <si>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</si>
  <si>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</si>
  <si>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</si>
  <si>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</si>
  <si>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</si>
  <si>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</si>
  <si>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</si>
  <si>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</si>
  <si>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</si>
  <si>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</si>
  <si>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</si>
  <si>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</si>
  <si>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</si>
  <si>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</si>
  <si>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</si>
  <si>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</si>
  <si>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</si>
  <si>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</si>
  <si>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</si>
  <si>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</si>
  <si>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</si>
  <si>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</si>
  <si>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</si>
  <si>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</si>
  <si>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</si>
  <si>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</si>
  <si>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</si>
  <si>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</si>
  <si>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</si>
  <si>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</si>
  <si>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</si>
  <si>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</si>
  <si>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</si>
  <si>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</si>
  <si>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</si>
  <si>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</si>
  <si>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</si>
  <si>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</si>
  <si>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</si>
  <si>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</si>
  <si>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</si>
  <si>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</si>
  <si>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</si>
  <si>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</si>
  <si>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</si>
  <si>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</si>
  <si>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</si>
  <si>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</si>
  <si>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</si>
  <si>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</si>
  <si>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</si>
  <si>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</si>
  <si>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</si>
  <si>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</si>
  <si>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</si>
  <si>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</si>
  <si>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</si>
  <si>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</si>
  <si>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</si>
  <si>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</si>
  <si>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</si>
  <si>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</si>
  <si>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</si>
  <si>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</si>
  <si>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</si>
  <si>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</si>
  <si>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</si>
  <si>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</si>
  <si>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</si>
  <si>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</si>
  <si>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</si>
  <si>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</si>
  <si>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</si>
  <si>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</si>
  <si>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</si>
  <si>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</si>
  <si>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</si>
  <si>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</si>
  <si>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</si>
  <si>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</si>
  <si>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</si>
  <si>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</si>
  <si>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</si>
  <si>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</si>
  <si>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</si>
  <si>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</si>
  <si>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</si>
  <si>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</si>
  <si>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</si>
  <si>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</si>
  <si>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</si>
  <si>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</si>
  <si>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</si>
  <si>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</si>
  <si>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</si>
  <si>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</si>
  <si>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</si>
  <si>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</si>
  <si>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</si>
  <si>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</si>
  <si>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</si>
  <si>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</si>
  <si>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</si>
  <si>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</si>
  <si>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</si>
  <si>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</si>
  <si>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</si>
  <si>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</si>
  <si>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</si>
  <si>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</si>
  <si>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</si>
  <si>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</si>
  <si>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</si>
  <si>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</si>
  <si>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</si>
  <si>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</si>
  <si>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</si>
  <si>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</si>
  <si>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</si>
  <si>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</si>
  <si>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</si>
  <si>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</si>
  <si>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</si>
  <si>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</si>
  <si>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</si>
  <si>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</si>
  <si>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</si>
  <si>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</si>
  <si>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</si>
  <si>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</si>
  <si>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</si>
  <si>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</si>
  <si>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</si>
  <si>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</si>
  <si>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</si>
  <si>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</si>
  <si>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</si>
  <si>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</si>
  <si>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</si>
  <si>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</si>
  <si>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</si>
  <si>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</si>
  <si>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</si>
  <si>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</si>
  <si>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</si>
  <si>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</si>
  <si>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</si>
  <si>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</si>
  <si>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</si>
  <si>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</si>
  <si>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</si>
  <si>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</si>
  <si>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</si>
  <si>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</si>
  <si>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</si>
  <si>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</si>
  <si>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</si>
  <si>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</si>
  <si>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</si>
  <si>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</si>
  <si>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</si>
  <si>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</si>
  <si>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</si>
  <si>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</si>
  <si>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</si>
  <si>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</si>
  <si>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</si>
  <si>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</si>
  <si>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</si>
  <si>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</si>
  <si>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</si>
  <si>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</si>
  <si>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</si>
  <si>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</si>
  <si>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</si>
  <si>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</si>
  <si>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</si>
  <si>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</si>
  <si>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</si>
  <si>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</si>
  <si>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</si>
  <si>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</si>
  <si>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</si>
  <si>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</si>
  <si>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</si>
  <si>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</si>
  <si>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</si>
  <si>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</si>
  <si>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</si>
  <si>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</si>
  <si>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</si>
  <si>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</si>
  <si>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</si>
  <si>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</si>
  <si>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</si>
  <si>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</si>
  <si>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</si>
  <si>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</si>
  <si>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</si>
  <si>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</si>
  <si>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</si>
  <si>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</si>
  <si>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</si>
  <si>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</si>
  <si>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</si>
  <si>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</si>
  <si>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</si>
  <si>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</si>
  <si>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</si>
  <si>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</si>
  <si>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</si>
  <si>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</si>
  <si>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</si>
  <si>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</si>
  <si>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</si>
  <si>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</si>
  <si>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</si>
  <si>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</si>
  <si>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</si>
  <si>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</si>
  <si>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</si>
  <si>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</si>
  <si>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</si>
  <si>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</si>
  <si>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</si>
  <si>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</si>
  <si>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</si>
  <si>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</si>
  <si>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</si>
  <si>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</si>
  <si>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</si>
  <si>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</si>
  <si>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</si>
  <si>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</si>
  <si>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</si>
  <si>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</si>
  <si>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</si>
  <si>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</si>
  <si>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</si>
  <si>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</si>
  <si>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</si>
  <si>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</si>
  <si>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</si>
  <si>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</si>
  <si>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</si>
  <si>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</si>
  <si>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</si>
  <si>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</si>
  <si>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</si>
  <si>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</si>
  <si>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</si>
  <si>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</si>
  <si>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</si>
  <si>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</si>
  <si>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</si>
  <si>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</si>
  <si>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</si>
  <si>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</si>
  <si>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</si>
  <si>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</si>
  <si>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</si>
  <si>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</si>
  <si>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</si>
  <si>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</si>
  <si>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</si>
  <si>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</si>
  <si>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</si>
  <si>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</si>
  <si>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</si>
  <si>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</si>
  <si>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</si>
  <si>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</si>
  <si>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</si>
  <si>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</si>
  <si>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</si>
  <si>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</si>
  <si>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</si>
  <si>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</si>
  <si>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</si>
  <si>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</si>
  <si>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</si>
  <si>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</si>
  <si>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</si>
  <si>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</si>
  <si>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</si>
  <si>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</si>
  <si>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</si>
  <si>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</si>
  <si>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</si>
  <si>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</si>
  <si>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</si>
  <si>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</si>
  <si>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</si>
  <si>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</si>
  <si>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</si>
  <si>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</si>
  <si>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</si>
  <si>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</si>
  <si>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</si>
  <si>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</si>
  <si>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</si>
  <si>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</si>
  <si>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</si>
  <si>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</si>
  <si>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</si>
  <si>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</si>
  <si>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</si>
  <si>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</si>
  <si>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</si>
  <si>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</si>
  <si>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</si>
  <si>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</si>
  <si>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</si>
  <si>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</si>
  <si>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</si>
  <si>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</si>
  <si>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</si>
  <si>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</si>
  <si>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</si>
  <si>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</si>
  <si>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</si>
  <si>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</si>
  <si>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</si>
  <si>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</si>
  <si>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</si>
  <si>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</si>
  <si>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</si>
  <si>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</si>
  <si>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</si>
  <si>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</si>
  <si>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</si>
  <si>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</si>
  <si>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</si>
  <si>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</si>
  <si>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</si>
  <si>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</si>
  <si>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</si>
  <si>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</si>
  <si>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</si>
  <si>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</si>
  <si>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</si>
  <si>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</si>
  <si>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</si>
  <si>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</si>
  <si>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</si>
  <si>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</si>
  <si>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</si>
  <si>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</si>
  <si>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</si>
  <si>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</si>
  <si>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</si>
  <si>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</si>
  <si>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</si>
  <si>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</si>
  <si>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</si>
  <si>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</si>
  <si>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</si>
  <si>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</si>
  <si>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</si>
  <si>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</si>
  <si>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</si>
  <si>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</si>
  <si>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</si>
  <si>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</si>
  <si>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</si>
  <si>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</si>
  <si>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</si>
  <si>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</si>
  <si>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</si>
  <si>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</si>
  <si>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</si>
  <si>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</si>
  <si>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</si>
  <si>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</si>
  <si>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</si>
  <si>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</si>
  <si>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</si>
  <si>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</si>
  <si>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</si>
  <si>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</si>
  <si>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</si>
  <si>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</si>
  <si>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</si>
  <si>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</si>
  <si>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</si>
  <si>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</si>
  <si>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</si>
  <si>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</si>
  <si>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</si>
  <si>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</si>
  <si>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</si>
  <si>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</si>
  <si>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</si>
  <si>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</si>
  <si>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</si>
  <si>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</si>
  <si>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</si>
  <si>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</si>
  <si>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</si>
  <si>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</si>
  <si>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</si>
  <si>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</si>
  <si>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</si>
  <si>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</si>
  <si>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</si>
  <si>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</si>
  <si>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</si>
  <si>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</si>
  <si>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</si>
  <si>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</si>
  <si>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</si>
  <si>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</si>
  <si>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</si>
  <si>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</si>
  <si>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</si>
  <si>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</si>
  <si>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</si>
  <si>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</si>
  <si>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</si>
  <si>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</si>
  <si>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</si>
  <si>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</si>
  <si>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</si>
  <si>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</si>
  <si>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</si>
  <si>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</si>
  <si>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</si>
  <si>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</si>
  <si>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</si>
  <si>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</si>
  <si>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</si>
  <si>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</si>
  <si>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</si>
  <si>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</si>
  <si>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</si>
  <si>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</si>
  <si>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</si>
  <si>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</si>
  <si>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</si>
  <si>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</si>
  <si>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</si>
  <si>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</si>
  <si>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</si>
  <si>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</si>
  <si>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</si>
  <si>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</si>
  <si>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</si>
  <si>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</si>
  <si>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</si>
  <si>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</si>
  <si>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</si>
  <si>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</si>
  <si>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</si>
  <si>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</si>
  <si>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</si>
  <si>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</si>
  <si>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</si>
  <si>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</si>
  <si>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</si>
  <si>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</si>
  <si>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</si>
  <si>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</si>
  <si>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</si>
  <si>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</si>
  <si>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</si>
  <si>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</si>
  <si>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</si>
  <si>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</si>
  <si>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</si>
  <si>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</si>
  <si>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</si>
  <si>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</si>
  <si>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</si>
  <si>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</si>
  <si>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</si>
  <si>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</si>
  <si>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</si>
  <si>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</si>
  <si>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</si>
  <si>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</si>
  <si>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</si>
  <si>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</si>
  <si>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</si>
  <si>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</si>
  <si>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</si>
  <si>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</si>
  <si>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</si>
  <si>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</si>
  <si>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</si>
  <si>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</si>
  <si>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</si>
  <si>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</si>
  <si>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</si>
  <si>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</si>
  <si>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</si>
  <si>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</si>
  <si>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</si>
  <si>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</si>
  <si>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</si>
  <si>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</si>
  <si>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</si>
  <si>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</si>
  <si>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</si>
  <si>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</si>
  <si>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</si>
  <si>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</si>
  <si>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</si>
  <si>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</si>
  <si>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</si>
  <si>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</si>
  <si>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</si>
  <si>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</si>
  <si>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</si>
  <si>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</si>
  <si>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</si>
  <si>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</si>
  <si>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</si>
  <si>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</si>
  <si>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</si>
  <si>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</si>
  <si>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</si>
  <si>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</si>
  <si>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</si>
  <si>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</si>
  <si>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</si>
  <si>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</si>
  <si>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</si>
  <si>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</si>
  <si>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</si>
  <si>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</si>
  <si>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</si>
  <si>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</si>
  <si>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</si>
  <si>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</si>
  <si>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</si>
  <si>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</si>
  <si>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</si>
  <si>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</si>
  <si>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</si>
  <si>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</si>
  <si>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</si>
  <si>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</si>
  <si>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</si>
  <si>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</si>
  <si>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</si>
  <si>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</si>
  <si>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</si>
  <si>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</si>
  <si>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</si>
  <si>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</si>
  <si>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</si>
  <si>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</si>
  <si>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</si>
  <si>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</si>
  <si>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</si>
  <si>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</si>
  <si>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</si>
  <si>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</si>
  <si>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</si>
  <si>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</si>
  <si>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</si>
  <si>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</si>
  <si>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</si>
  <si>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</si>
  <si>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</si>
  <si>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</si>
  <si>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</si>
  <si>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</si>
  <si>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</si>
  <si>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</si>
  <si>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</si>
  <si>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</si>
  <si>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</si>
  <si>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</si>
  <si>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</si>
  <si>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</si>
  <si>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</si>
  <si>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</si>
  <si>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</si>
  <si>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</si>
  <si>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</si>
  <si>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</si>
  <si>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</si>
  <si>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</si>
  <si>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</si>
  <si>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</si>
  <si>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</si>
  <si>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</si>
  <si>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</si>
  <si>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</si>
  <si>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</si>
  <si>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</si>
  <si>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</si>
  <si>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</si>
  <si>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</si>
  <si>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</si>
  <si>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</si>
  <si>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</si>
  <si>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</si>
  <si>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</si>
  <si>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</si>
  <si>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</si>
  <si>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</si>
  <si>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</si>
  <si>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</si>
  <si>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</si>
  <si>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</si>
  <si>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</si>
  <si>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</si>
  <si>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</si>
  <si>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</si>
  <si>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</si>
  <si>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</si>
  <si>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</si>
  <si>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</si>
  <si>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</si>
  <si>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</si>
  <si>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</si>
  <si>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</si>
  <si>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</si>
  <si>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</si>
  <si>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</si>
  <si>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</si>
  <si>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</si>
  <si>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</si>
  <si>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</si>
  <si>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</si>
  <si>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</si>
  <si>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</si>
  <si>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</si>
  <si>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</si>
  <si>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</si>
  <si>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</si>
  <si>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</si>
  <si>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</si>
  <si>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</si>
  <si>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</si>
  <si>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</si>
  <si>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</si>
  <si>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</si>
  <si>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</si>
  <si>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</si>
  <si>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</si>
  <si>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</si>
  <si>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</si>
  <si>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</si>
  <si>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</si>
  <si>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</si>
  <si>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</si>
  <si>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</si>
  <si>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</si>
  <si>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</si>
  <si>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</si>
  <si>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</si>
  <si>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</si>
  <si>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</si>
  <si>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</si>
  <si>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</si>
  <si>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</si>
  <si>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</si>
  <si>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</si>
  <si>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</si>
  <si>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</si>
  <si>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</si>
  <si>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</si>
  <si>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</si>
  <si>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</si>
  <si>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</si>
  <si>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</si>
  <si>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</si>
  <si>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</si>
  <si>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</si>
  <si>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</si>
  <si>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</si>
  <si>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</si>
  <si>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</si>
  <si>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</si>
  <si>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</si>
  <si>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</si>
  <si>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</si>
  <si>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</si>
  <si>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</si>
  <si>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</si>
  <si>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</si>
  <si>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</si>
  <si>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</si>
  <si>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</si>
  <si>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</si>
  <si>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</si>
  <si>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</si>
  <si>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</si>
  <si>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</si>
  <si>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</si>
  <si>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</si>
  <si>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</si>
  <si>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</si>
  <si>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</si>
  <si>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</si>
  <si>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</si>
  <si>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</si>
  <si>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</si>
  <si>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</si>
  <si>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</si>
  <si>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</si>
  <si>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</si>
  <si>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</si>
  <si>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</si>
  <si>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</si>
  <si>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</si>
  <si>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</si>
  <si>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</si>
  <si>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</si>
  <si>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</si>
  <si>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</si>
  <si>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</si>
  <si>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</si>
  <si>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</si>
  <si>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</si>
  <si>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</si>
  <si>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</si>
  <si>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</si>
  <si>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</si>
  <si>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</si>
  <si>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</si>
  <si>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</si>
  <si>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</si>
  <si>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</si>
  <si>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</si>
  <si>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</si>
  <si>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</si>
  <si>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</si>
  <si>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</si>
  <si>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</si>
  <si>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</si>
  <si>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</si>
  <si>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</si>
  <si>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</si>
  <si>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</si>
  <si>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</si>
  <si>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</si>
  <si>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</si>
  <si>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</si>
  <si>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</si>
  <si>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</si>
  <si>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</si>
  <si>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</si>
  <si>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</si>
  <si>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</si>
  <si>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</si>
  <si>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</si>
  <si>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</si>
  <si>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</si>
  <si>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</si>
  <si>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</si>
  <si>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</si>
  <si>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</si>
  <si>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</si>
  <si>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</si>
  <si>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</si>
  <si>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</si>
  <si>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</si>
  <si>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</si>
  <si>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</si>
  <si>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</si>
  <si>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</si>
  <si>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</si>
  <si>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</si>
  <si>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</si>
  <si>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</si>
  <si>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</si>
  <si>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</si>
  <si>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</si>
  <si>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</si>
  <si>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</si>
  <si>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</si>
  <si>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</si>
  <si>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</si>
  <si>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</si>
  <si>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</si>
  <si>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</si>
  <si>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</si>
  <si>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</si>
  <si>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</si>
  <si>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</si>
  <si>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</si>
  <si>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</si>
  <si>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</si>
  <si>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</si>
  <si>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</si>
  <si>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</si>
  <si>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</si>
  <si>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</si>
  <si>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</si>
  <si>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</si>
  <si>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</si>
  <si>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</si>
  <si>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</si>
  <si>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</si>
  <si>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</si>
  <si>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</si>
  <si>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</si>
  <si>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</si>
  <si>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</si>
  <si>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</si>
  <si>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</si>
  <si>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</si>
  <si>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MUNICIPIO DE SILAO DE LA VICTORIA</t>
  </si>
  <si>
    <t xml:space="preserve">                                         -  </t>
  </si>
  <si>
    <t xml:space="preserve">                                          -  </t>
  </si>
  <si>
    <t>31111-0101  PRESIDENCIA MUNICIPAL</t>
  </si>
  <si>
    <t>31111-0102  SINDICATURA Y REGIDURIA</t>
  </si>
  <si>
    <t>31111-0103  SECRETARIA PARTICULAR</t>
  </si>
  <si>
    <t>31111-0104  UNIDAD DE ACCESO A LA INFORMACION</t>
  </si>
  <si>
    <t>31111-0105  JUZGADO MUNICIPAL</t>
  </si>
  <si>
    <t>31111-0106  COMUNICACION SOCIAL Y EVENTOS</t>
  </si>
  <si>
    <t>31111-0107  SECRETARIA EJECUTIVA</t>
  </si>
  <si>
    <t>31111-0108  EVALUACIÓN Y SEGIMIENTO</t>
  </si>
  <si>
    <t>31111-0109  ATENCIÓN CIUDADANA</t>
  </si>
  <si>
    <t>31111-0201  SRIA. DEL H. AYUNTAMIENTO</t>
  </si>
  <si>
    <t>31111-0202  DEPARTAMENTO DE FISCALIZACION</t>
  </si>
  <si>
    <t>31111-0203  OFICINA DE RECLUTAMIENTO</t>
  </si>
  <si>
    <t>31111-0204  ASUNTOS JURIDICOS</t>
  </si>
  <si>
    <t>31111-0205  ASUNTOS INTERNOS</t>
  </si>
  <si>
    <t>31111-0206  ARCHIVO MUNICIPAL</t>
  </si>
  <si>
    <t>31111-0207  DERECHOS HUMANOS</t>
  </si>
  <si>
    <t>31111-0301  TESORERIA</t>
  </si>
  <si>
    <t>31111-0302  DIRECCION DE INGRESOS</t>
  </si>
  <si>
    <t>31111-0303  DIRECCION DE EGRESOS</t>
  </si>
  <si>
    <t>31111-0304  DEPARTAMENTO DE ADQUISICIONES</t>
  </si>
  <si>
    <t>31111-0305  DEPARTAMENTO DE RECURSOS HUMANOS</t>
  </si>
  <si>
    <t>31111-0306  DEPARTAMENTO DE SERVICIOS MEDICOS</t>
  </si>
  <si>
    <t>31111-0307  DEPARTAMENTO DE INFORMATICA</t>
  </si>
  <si>
    <t>31111-0308  CATASTRO</t>
  </si>
  <si>
    <t>31111-0309  IMPUESTOS INMOBILIARIOS</t>
  </si>
  <si>
    <t>31111-0310  EJECUCIÓN FISCAL</t>
  </si>
  <si>
    <t>31111-0311  OFICIALIA MAYOR</t>
  </si>
  <si>
    <t>31111-0401  DIRECCION DE SERVICIOS PUBLICOS</t>
  </si>
  <si>
    <t>31111-0402  LIMPIA</t>
  </si>
  <si>
    <t>31111-0403  PARQUES Y JARDINES</t>
  </si>
  <si>
    <t>31111-0404  MERCADOS</t>
  </si>
  <si>
    <t>31111-0405  RASTRO</t>
  </si>
  <si>
    <t>31111-0406  PANTEONES</t>
  </si>
  <si>
    <t>31111-0407  ALUMBRADO PUBLICO</t>
  </si>
  <si>
    <t>31111-0501  DIRECCION DE DESARROLLO URBANO</t>
  </si>
  <si>
    <t>31111-0502  DIRECCION DE ECOLOGIA</t>
  </si>
  <si>
    <t>31111-0503  PLANEACION URBANA MUNICIPAL</t>
  </si>
  <si>
    <t>31111-0601  DIRECCION DE FOMENTO ECONOMICO</t>
  </si>
  <si>
    <t>31111-0602  SERVICIO MUNICIPAL DE EMPLEO</t>
  </si>
  <si>
    <t>31111-0701  DIRECCION DE DESARROLLO SOCIAL</t>
  </si>
  <si>
    <t>31111-0702  PROMOCIÓN RURAL</t>
  </si>
  <si>
    <t>31111-0703  COPLADEM</t>
  </si>
  <si>
    <t>31111-0801  DIRECCION DE EDUCACION Y CULTURA</t>
  </si>
  <si>
    <t>31111-0802  CASA DE LA CULTURA</t>
  </si>
  <si>
    <t>31111-0901  COMUDAJ</t>
  </si>
  <si>
    <t>31111-1001  DIRECCION GENERAL DE SEGURIDAD</t>
  </si>
  <si>
    <t>31111-1002  SUBDIRECCION DE TRANSITO Y VIALIDAD</t>
  </si>
  <si>
    <t>31111-1003  DEPARTAMENTO DE TRANSPORTE</t>
  </si>
  <si>
    <t>31111-1005  RECLUSORIO MUNICIPAL</t>
  </si>
  <si>
    <t>31111-1006  PROTECCION CIVIL</t>
  </si>
  <si>
    <t>31111-1007  CENTRAL DE EMERGECIAS 911</t>
  </si>
  <si>
    <t>31111-1101  OBRA PUBLICA</t>
  </si>
  <si>
    <t>31111-1201  CONTRALORIA MUNICIPAL</t>
  </si>
  <si>
    <t>31111-1301  INSTITUTO DE LA MUJER</t>
  </si>
  <si>
    <t>31111-1401  INSTITUTO MUNICIPAL DE LA JUVENTUD</t>
  </si>
  <si>
    <t>Al 31 de diciembre de 2019 y al 31 de diciembre de 2020 (b)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</si>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</sst>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6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2" fillId="0" borderId="26" applyNumberFormat="0" applyFill="0" applyAlignment="0" applyProtection="0"/>
    <xf numFmtId="0" fontId="23" fillId="0" borderId="2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28" applyNumberFormat="0" applyAlignment="0" applyProtection="0"/>
    <xf numFmtId="0" fontId="28" fillId="9" borderId="29" applyNumberFormat="0" applyAlignment="0" applyProtection="0"/>
    <xf numFmtId="0" fontId="29" fillId="9" borderId="28" applyNumberFormat="0" applyAlignment="0" applyProtection="0"/>
    <xf numFmtId="0" fontId="30" fillId="0" borderId="30" applyNumberFormat="0" applyFill="0" applyAlignment="0" applyProtection="0"/>
    <xf numFmtId="0" fontId="31" fillId="10" borderId="31" applyNumberFormat="0" applyAlignment="0" applyProtection="0"/>
    <xf numFmtId="0" fontId="32" fillId="0" borderId="0" applyNumberFormat="0" applyFill="0" applyBorder="0" applyAlignment="0" applyProtection="0"/>
    <xf numFmtId="0" fontId="15" fillId="11" borderId="32" applyNumberFormat="0" applyFont="0" applyAlignment="0" applyProtection="0"/>
    <xf numFmtId="0" fontId="33" fillId="0" borderId="0" applyNumberFormat="0" applyFill="0" applyBorder="0" applyAlignment="0" applyProtection="0"/>
    <xf numFmtId="0" fontId="1" fillId="0" borderId="33" applyNumberFormat="0" applyFill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8" fillId="0" borderId="13" xfId="0" applyNumberFormat="1" applyFont="1" applyBorder="1" applyAlignment="1" applyProtection="1">
      <alignment vertical="center"/>
      <protection locked="0"/>
    </xf>
    <xf numFmtId="4" fontId="19" fillId="0" borderId="13" xfId="0" applyNumberFormat="1" applyFont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0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Incorrecto" xfId="13" builtinId="27" customBuiltin="1"/>
    <cellStyle name="Millares 2" xfId="4"/>
    <cellStyle name="Millares 2 2" xfId="5"/>
    <cellStyle name="Millares 2 3" xfId="49"/>
    <cellStyle name="Millares 3" xfId="3"/>
    <cellStyle name="Millares 4" xfId="6"/>
    <cellStyle name="Millares 5" xfId="48"/>
    <cellStyle name="Neutral" xfId="14" builtinId="28" customBuiltin="1"/>
    <cellStyle name="Normal" xfId="0" builtinId="0"/>
    <cellStyle name="Normal 2" xfId="2"/>
    <cellStyle name="Normal 3" xfId="1"/>
    <cellStyle name="Notas" xfId="21" builtinId="10" customBuiltin="1"/>
    <cellStyle name="Salida" xfId="16" builtinId="21" customBuiltin="1"/>
    <cellStyle name="Texto de advertencia" xfId="20" builtinId="11" customBuiltin="1"/>
    <cellStyle name="Texto explicativo" xfId="22" builtinId="53" customBuiltin="1"/>
    <cellStyle name="Título" xfId="7" builtinId="15" customBuiltin="1"/>
    <cellStyle name="Título 2" xfId="9" builtinId="17" customBuiltin="1"/>
    <cellStyle name="Título 3" xfId="10" builtinId="18" customBuiltin="1"/>
    <cellStyle name="Total" xfId="2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0" t="s">
        <v>821</v>
      </c>
      <c r="B1" s="141"/>
      <c r="C1" s="141"/>
      <c r="D1" s="141"/>
      <c r="E1" s="142"/>
    </row>
    <row r="2" spans="1:5" s="7" customFormat="1" ht="14.25" x14ac:dyDescent="0.45">
      <c r="A2" s="24"/>
      <c r="E2" s="25"/>
    </row>
    <row r="3" spans="1:5" s="7" customFormat="1" ht="26.25" customHeight="1" x14ac:dyDescent="0.25">
      <c r="A3" s="24"/>
      <c r="B3" s="29" t="s">
        <v>784</v>
      </c>
      <c r="C3" s="143" t="s">
        <v>3294</v>
      </c>
      <c r="D3" s="143"/>
      <c r="E3" s="25"/>
    </row>
    <row r="4" spans="1:5" s="7" customFormat="1" ht="14.25" x14ac:dyDescent="0.45">
      <c r="A4" s="24"/>
      <c r="E4" s="25"/>
    </row>
    <row r="5" spans="1:5" s="7" customFormat="1" ht="26.25" customHeight="1" x14ac:dyDescent="0.45">
      <c r="A5" s="24"/>
      <c r="B5" s="29" t="s">
        <v>787</v>
      </c>
      <c r="E5" s="25"/>
    </row>
    <row r="6" spans="1:5" s="7" customFormat="1" ht="14.25" x14ac:dyDescent="0.45">
      <c r="A6" s="24"/>
      <c r="E6" s="25"/>
    </row>
    <row r="7" spans="1:5" s="7" customFormat="1" ht="26.25" customHeight="1" x14ac:dyDescent="0.45">
      <c r="A7" s="24"/>
      <c r="B7" s="29" t="s">
        <v>788</v>
      </c>
      <c r="E7" s="25"/>
    </row>
    <row r="8" spans="1:5" s="7" customFormat="1" ht="14.25" x14ac:dyDescent="0.45">
      <c r="A8" s="24"/>
      <c r="E8" s="25"/>
    </row>
    <row r="9" spans="1:5" s="7" customFormat="1" ht="26.25" customHeight="1" x14ac:dyDescent="0.25">
      <c r="A9" s="24"/>
      <c r="B9" s="29" t="s">
        <v>786</v>
      </c>
      <c r="E9" s="25"/>
    </row>
    <row r="10" spans="1:5" s="7" customFormat="1" ht="14.25" x14ac:dyDescent="0.45">
      <c r="A10" s="24"/>
      <c r="E10" s="25"/>
    </row>
    <row r="11" spans="1:5" s="7" customFormat="1" ht="26.25" customHeight="1" x14ac:dyDescent="0.45">
      <c r="A11" s="24"/>
      <c r="B11" s="29" t="s">
        <v>785</v>
      </c>
      <c r="E11" s="25"/>
    </row>
    <row r="12" spans="1:5" s="7" customFormat="1" ht="14.65" thickBot="1" x14ac:dyDescent="0.5">
      <c r="A12" s="26"/>
      <c r="B12" s="27"/>
      <c r="C12" s="27"/>
      <c r="D12" s="27"/>
      <c r="E12" s="28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18" sqref="A1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81" customFormat="1" ht="37.5" customHeight="1" x14ac:dyDescent="0.45">
      <c r="A1" s="156" t="s">
        <v>534</v>
      </c>
      <c r="B1" s="156"/>
      <c r="C1" s="156"/>
      <c r="D1" s="156"/>
      <c r="E1" s="101"/>
      <c r="F1" s="101"/>
      <c r="G1" s="101"/>
      <c r="H1" s="101"/>
      <c r="I1" s="101"/>
      <c r="J1" s="101"/>
      <c r="K1" s="101"/>
    </row>
    <row r="2" spans="1:11" ht="14.25" x14ac:dyDescent="0.45">
      <c r="A2" s="144" t="str">
        <f>ENTE_PUBLICO_A</f>
        <v>MUNICIPIO DE SILAO DE LA VICTORIA, Gobierno del Estado de Guanajuato (a)</v>
      </c>
      <c r="B2" s="145"/>
      <c r="C2" s="145"/>
      <c r="D2" s="146"/>
    </row>
    <row r="3" spans="1:11" ht="14.25" x14ac:dyDescent="0.45">
      <c r="A3" s="147" t="s">
        <v>166</v>
      </c>
      <c r="B3" s="148"/>
      <c r="C3" s="148"/>
      <c r="D3" s="149"/>
    </row>
    <row r="4" spans="1:11" ht="14.25" x14ac:dyDescent="0.45">
      <c r="A4" s="150" t="str">
        <f>TRIMESTRE</f>
        <v>Del 1 de enero al 31 de diciembre de 2020 (b)</v>
      </c>
      <c r="B4" s="151"/>
      <c r="C4" s="151"/>
      <c r="D4" s="152"/>
    </row>
    <row r="5" spans="1:11" ht="14.25" x14ac:dyDescent="0.45">
      <c r="A5" s="153" t="s">
        <v>118</v>
      </c>
      <c r="B5" s="154"/>
      <c r="C5" s="154"/>
      <c r="D5" s="155"/>
    </row>
    <row r="6" spans="1:11" ht="14.25" x14ac:dyDescent="0.45"/>
    <row r="7" spans="1:11" ht="39" customHeight="1" x14ac:dyDescent="0.45">
      <c r="A7" s="106" t="s">
        <v>0</v>
      </c>
      <c r="B7" s="43" t="s">
        <v>181</v>
      </c>
      <c r="C7" s="43" t="s">
        <v>167</v>
      </c>
      <c r="D7" s="43" t="s">
        <v>182</v>
      </c>
    </row>
    <row r="8" spans="1:11" x14ac:dyDescent="0.25">
      <c r="A8" s="53" t="s">
        <v>168</v>
      </c>
      <c r="B8" s="136">
        <f>SUM(B9:B11)</f>
        <v>597850494.12</v>
      </c>
      <c r="C8" s="136">
        <f t="shared" ref="C8:D8" si="0">SUM(C9:C11)</f>
        <v>658488837.36000001</v>
      </c>
      <c r="D8" s="136">
        <f t="shared" si="0"/>
        <v>658088837.36000001</v>
      </c>
    </row>
    <row r="9" spans="1:11" x14ac:dyDescent="0.25">
      <c r="A9" s="51" t="s">
        <v>169</v>
      </c>
      <c r="B9" s="137">
        <v>382446509.12</v>
      </c>
      <c r="C9" s="137">
        <v>411041560.44</v>
      </c>
      <c r="D9" s="137">
        <v>410641560.44</v>
      </c>
    </row>
    <row r="10" spans="1:11" x14ac:dyDescent="0.25">
      <c r="A10" s="51" t="s">
        <v>170</v>
      </c>
      <c r="B10" s="137">
        <v>211659985</v>
      </c>
      <c r="C10" s="137">
        <v>243703276.91999999</v>
      </c>
      <c r="D10" s="137">
        <v>243703276.91999999</v>
      </c>
    </row>
    <row r="11" spans="1:11" x14ac:dyDescent="0.25">
      <c r="A11" s="51" t="s">
        <v>171</v>
      </c>
      <c r="B11" s="136">
        <f>-B44</f>
        <v>3744000</v>
      </c>
      <c r="C11" s="136">
        <f>-C44</f>
        <v>3744000</v>
      </c>
      <c r="D11" s="136">
        <f>-D44</f>
        <v>3744000</v>
      </c>
    </row>
    <row r="12" spans="1:11" ht="14.25" x14ac:dyDescent="0.45">
      <c r="A12" s="85"/>
      <c r="B12" s="12"/>
      <c r="C12" s="12"/>
      <c r="D12" s="12"/>
    </row>
    <row r="13" spans="1:11" x14ac:dyDescent="0.25">
      <c r="A13" s="53" t="s">
        <v>180</v>
      </c>
      <c r="B13" s="136">
        <f>B14+B15</f>
        <v>594106494.12</v>
      </c>
      <c r="C13" s="136">
        <f t="shared" ref="C13:D13" si="1">C14+C15</f>
        <v>722056927.18999994</v>
      </c>
      <c r="D13" s="136">
        <f t="shared" si="1"/>
        <v>652273363.52999997</v>
      </c>
    </row>
    <row r="14" spans="1:11" x14ac:dyDescent="0.25">
      <c r="A14" s="51" t="s">
        <v>172</v>
      </c>
      <c r="B14" s="137">
        <v>382446509.12</v>
      </c>
      <c r="C14" s="137">
        <v>488685000.51999998</v>
      </c>
      <c r="D14" s="137">
        <v>423906269.68000001</v>
      </c>
    </row>
    <row r="15" spans="1:11" x14ac:dyDescent="0.25">
      <c r="A15" s="51" t="s">
        <v>173</v>
      </c>
      <c r="B15" s="137">
        <v>211659985</v>
      </c>
      <c r="C15" s="137">
        <v>233371926.66999999</v>
      </c>
      <c r="D15" s="137">
        <v>228367093.84999999</v>
      </c>
    </row>
    <row r="16" spans="1:11" x14ac:dyDescent="0.25">
      <c r="A16" s="85"/>
      <c r="B16" s="12"/>
      <c r="C16" s="12"/>
      <c r="D16" s="12"/>
    </row>
    <row r="17" spans="1:4" x14ac:dyDescent="0.25">
      <c r="A17" s="53" t="s">
        <v>174</v>
      </c>
      <c r="B17" s="107">
        <f>B18+B19</f>
        <v>0</v>
      </c>
      <c r="C17" s="137">
        <f t="shared" ref="C17" si="2">C18+C19</f>
        <v>32558201.52</v>
      </c>
      <c r="D17" s="137">
        <f>D18+D19</f>
        <v>32558201.52</v>
      </c>
    </row>
    <row r="18" spans="1:4" x14ac:dyDescent="0.25">
      <c r="A18" s="51" t="s">
        <v>175</v>
      </c>
      <c r="B18" s="108">
        <v>0</v>
      </c>
      <c r="C18" s="137">
        <v>2000000</v>
      </c>
      <c r="D18" s="137">
        <v>2000000</v>
      </c>
    </row>
    <row r="19" spans="1:4" x14ac:dyDescent="0.25">
      <c r="A19" s="51" t="s">
        <v>176</v>
      </c>
      <c r="B19" s="108">
        <v>0</v>
      </c>
      <c r="C19" s="137">
        <v>30558201.52</v>
      </c>
      <c r="D19" s="137">
        <v>30558201.52</v>
      </c>
    </row>
    <row r="20" spans="1:4" ht="14.25" x14ac:dyDescent="0.45">
      <c r="A20" s="85"/>
      <c r="B20" s="12"/>
      <c r="C20" s="12"/>
      <c r="D20" s="12"/>
    </row>
    <row r="21" spans="1:4" x14ac:dyDescent="0.25">
      <c r="A21" s="53" t="s">
        <v>177</v>
      </c>
      <c r="B21" s="136">
        <f>B8-B13+B17</f>
        <v>3744000</v>
      </c>
      <c r="C21" s="136">
        <f t="shared" ref="C21:D21" si="3">C8-C13+C17</f>
        <v>-31009888.309999924</v>
      </c>
      <c r="D21" s="136">
        <f t="shared" si="3"/>
        <v>38373675.350000039</v>
      </c>
    </row>
    <row r="22" spans="1:4" ht="14.25" x14ac:dyDescent="0.45">
      <c r="A22" s="53"/>
      <c r="B22" s="12"/>
      <c r="C22" s="12"/>
      <c r="D22" s="12"/>
    </row>
    <row r="23" spans="1:4" x14ac:dyDescent="0.25">
      <c r="A23" s="53" t="s">
        <v>178</v>
      </c>
      <c r="B23" s="136">
        <f>B21-B11</f>
        <v>0</v>
      </c>
      <c r="C23" s="136">
        <f t="shared" ref="C23:D23" si="4">C21-C11</f>
        <v>-34753888.309999928</v>
      </c>
      <c r="D23" s="136">
        <f t="shared" si="4"/>
        <v>34629675.350000039</v>
      </c>
    </row>
    <row r="24" spans="1:4" ht="14.25" x14ac:dyDescent="0.45">
      <c r="A24" s="53"/>
      <c r="B24" s="17"/>
      <c r="C24" s="17"/>
      <c r="D24" s="17"/>
    </row>
    <row r="25" spans="1:4" x14ac:dyDescent="0.25">
      <c r="A25" s="109" t="s">
        <v>179</v>
      </c>
      <c r="B25" s="136">
        <f>B23-B17</f>
        <v>0</v>
      </c>
      <c r="C25" s="136">
        <f t="shared" ref="C25" si="5">C23-C17</f>
        <v>-67312089.829999924</v>
      </c>
      <c r="D25" s="136">
        <f>D23-D17</f>
        <v>2071473.8300000392</v>
      </c>
    </row>
    <row r="26" spans="1:4" x14ac:dyDescent="0.25">
      <c r="A26" s="110"/>
      <c r="B26" s="13"/>
      <c r="C26" s="13"/>
      <c r="D26" s="13"/>
    </row>
    <row r="27" spans="1:4" x14ac:dyDescent="0.25">
      <c r="A27" s="80"/>
    </row>
    <row r="28" spans="1:4" ht="30" customHeight="1" x14ac:dyDescent="0.25">
      <c r="A28" s="106" t="s">
        <v>183</v>
      </c>
      <c r="B28" s="43" t="s">
        <v>184</v>
      </c>
      <c r="C28" s="43" t="s">
        <v>167</v>
      </c>
      <c r="D28" s="43" t="s">
        <v>185</v>
      </c>
    </row>
    <row r="29" spans="1:4" x14ac:dyDescent="0.25">
      <c r="A29" s="53" t="s">
        <v>186</v>
      </c>
      <c r="B29" s="136">
        <f>B30+B31</f>
        <v>1845212.2</v>
      </c>
      <c r="C29" s="136">
        <f t="shared" ref="C29:D29" si="6">C30+C31</f>
        <v>1049326.97</v>
      </c>
      <c r="D29" s="136">
        <f t="shared" si="6"/>
        <v>1049326.97</v>
      </c>
    </row>
    <row r="30" spans="1:4" x14ac:dyDescent="0.25">
      <c r="A30" s="51" t="s">
        <v>187</v>
      </c>
      <c r="B30" s="137">
        <v>0</v>
      </c>
      <c r="C30" s="137">
        <v>0</v>
      </c>
      <c r="D30" s="137">
        <v>0</v>
      </c>
    </row>
    <row r="31" spans="1:4" x14ac:dyDescent="0.25">
      <c r="A31" s="51" t="s">
        <v>188</v>
      </c>
      <c r="B31" s="137">
        <v>1845212.2</v>
      </c>
      <c r="C31" s="137">
        <v>1049326.97</v>
      </c>
      <c r="D31" s="137">
        <v>1049326.97</v>
      </c>
    </row>
    <row r="32" spans="1:4" x14ac:dyDescent="0.25">
      <c r="A32" s="52"/>
      <c r="B32" s="52"/>
      <c r="C32" s="52"/>
      <c r="D32" s="52"/>
    </row>
    <row r="33" spans="1:4" x14ac:dyDescent="0.25">
      <c r="A33" s="53" t="s">
        <v>189</v>
      </c>
      <c r="B33" s="136">
        <f>B25+B29</f>
        <v>1845212.2</v>
      </c>
      <c r="C33" s="136">
        <f t="shared" ref="C33:D33" si="7">C25+C29</f>
        <v>-66262762.859999925</v>
      </c>
      <c r="D33" s="136">
        <f t="shared" si="7"/>
        <v>3120800.8000000389</v>
      </c>
    </row>
    <row r="34" spans="1:4" x14ac:dyDescent="0.25">
      <c r="A34" s="56"/>
      <c r="B34" s="56"/>
      <c r="C34" s="56"/>
      <c r="D34" s="56"/>
    </row>
    <row r="35" spans="1:4" x14ac:dyDescent="0.25">
      <c r="A35" s="80"/>
    </row>
    <row r="36" spans="1:4" ht="30" x14ac:dyDescent="0.25">
      <c r="A36" s="106" t="s">
        <v>183</v>
      </c>
      <c r="B36" s="43" t="s">
        <v>190</v>
      </c>
      <c r="C36" s="43" t="s">
        <v>167</v>
      </c>
      <c r="D36" s="43" t="s">
        <v>182</v>
      </c>
    </row>
    <row r="37" spans="1:4" x14ac:dyDescent="0.25">
      <c r="A37" s="53" t="s">
        <v>191</v>
      </c>
      <c r="B37" s="136">
        <f>B38+B39</f>
        <v>0</v>
      </c>
      <c r="C37" s="136">
        <f t="shared" ref="C37:D37" si="8">C38+C39</f>
        <v>0</v>
      </c>
      <c r="D37" s="136">
        <f t="shared" si="8"/>
        <v>0</v>
      </c>
    </row>
    <row r="38" spans="1:4" x14ac:dyDescent="0.25">
      <c r="A38" s="51" t="s">
        <v>192</v>
      </c>
      <c r="B38" s="137">
        <v>0</v>
      </c>
      <c r="C38" s="137">
        <v>0</v>
      </c>
      <c r="D38" s="137">
        <v>0</v>
      </c>
    </row>
    <row r="39" spans="1:4" x14ac:dyDescent="0.25">
      <c r="A39" s="51" t="s">
        <v>193</v>
      </c>
      <c r="B39" s="137">
        <v>0</v>
      </c>
      <c r="C39" s="137">
        <v>0</v>
      </c>
      <c r="D39" s="137">
        <v>0</v>
      </c>
    </row>
    <row r="40" spans="1:4" x14ac:dyDescent="0.25">
      <c r="A40" s="53" t="s">
        <v>194</v>
      </c>
      <c r="B40" s="136">
        <f>B41+B42</f>
        <v>3744000</v>
      </c>
      <c r="C40" s="136">
        <f t="shared" ref="C40:D40" si="9">C41+C42</f>
        <v>3744000</v>
      </c>
      <c r="D40" s="136">
        <f t="shared" si="9"/>
        <v>3744000</v>
      </c>
    </row>
    <row r="41" spans="1:4" x14ac:dyDescent="0.25">
      <c r="A41" s="51" t="s">
        <v>195</v>
      </c>
      <c r="B41" s="137">
        <v>0</v>
      </c>
      <c r="C41" s="137">
        <v>0</v>
      </c>
      <c r="D41" s="137">
        <v>0</v>
      </c>
    </row>
    <row r="42" spans="1:4" x14ac:dyDescent="0.25">
      <c r="A42" s="51" t="s">
        <v>196</v>
      </c>
      <c r="B42" s="137">
        <v>3744000</v>
      </c>
      <c r="C42" s="137">
        <v>3744000</v>
      </c>
      <c r="D42" s="137">
        <v>3744000</v>
      </c>
    </row>
    <row r="43" spans="1:4" x14ac:dyDescent="0.25">
      <c r="A43" s="52"/>
      <c r="B43" s="52"/>
      <c r="C43" s="52"/>
      <c r="D43" s="52"/>
    </row>
    <row r="44" spans="1:4" x14ac:dyDescent="0.25">
      <c r="A44" s="53" t="s">
        <v>197</v>
      </c>
      <c r="B44" s="136">
        <f>B37-B40</f>
        <v>-3744000</v>
      </c>
      <c r="C44" s="136">
        <f t="shared" ref="C44:D44" si="10">C37-C40</f>
        <v>-3744000</v>
      </c>
      <c r="D44" s="136">
        <f t="shared" si="10"/>
        <v>-3744000</v>
      </c>
    </row>
    <row r="45" spans="1:4" x14ac:dyDescent="0.25">
      <c r="A45" s="130"/>
      <c r="B45" s="56"/>
      <c r="C45" s="56"/>
      <c r="D45" s="56"/>
    </row>
    <row r="46" spans="1:4" x14ac:dyDescent="0.25"/>
    <row r="47" spans="1:4" ht="30" x14ac:dyDescent="0.25">
      <c r="A47" s="106" t="s">
        <v>183</v>
      </c>
      <c r="B47" s="43" t="s">
        <v>190</v>
      </c>
      <c r="C47" s="43" t="s">
        <v>167</v>
      </c>
      <c r="D47" s="43" t="s">
        <v>182</v>
      </c>
    </row>
    <row r="48" spans="1:4" x14ac:dyDescent="0.25">
      <c r="A48" s="113" t="s">
        <v>198</v>
      </c>
      <c r="B48" s="137">
        <f>B9</f>
        <v>382446509.12</v>
      </c>
      <c r="C48" s="137">
        <f>C9</f>
        <v>411041560.44</v>
      </c>
      <c r="D48" s="137">
        <f t="shared" ref="D48" si="11">D9</f>
        <v>410641560.44</v>
      </c>
    </row>
    <row r="49" spans="1:4" x14ac:dyDescent="0.25">
      <c r="A49" s="114" t="s">
        <v>199</v>
      </c>
      <c r="B49" s="136">
        <f>B50-B51</f>
        <v>0</v>
      </c>
      <c r="C49" s="136">
        <f t="shared" ref="C49:D49" si="12">C50-C51</f>
        <v>34000000</v>
      </c>
      <c r="D49" s="136">
        <f t="shared" si="12"/>
        <v>34000000</v>
      </c>
    </row>
    <row r="50" spans="1:4" x14ac:dyDescent="0.25">
      <c r="A50" s="115" t="s">
        <v>192</v>
      </c>
      <c r="B50" s="137">
        <v>0</v>
      </c>
      <c r="C50" s="137">
        <v>34000000</v>
      </c>
      <c r="D50" s="137">
        <v>34000000</v>
      </c>
    </row>
    <row r="51" spans="1:4" x14ac:dyDescent="0.25">
      <c r="A51" s="115" t="s">
        <v>195</v>
      </c>
      <c r="B51" s="137">
        <v>0</v>
      </c>
      <c r="C51" s="137">
        <v>0</v>
      </c>
      <c r="D51" s="137">
        <v>0</v>
      </c>
    </row>
    <row r="52" spans="1:4" x14ac:dyDescent="0.25">
      <c r="A52" s="52"/>
      <c r="B52" s="52"/>
      <c r="C52" s="52"/>
      <c r="D52" s="52"/>
    </row>
    <row r="53" spans="1:4" x14ac:dyDescent="0.25">
      <c r="A53" s="51" t="s">
        <v>172</v>
      </c>
      <c r="B53" s="137">
        <f>B14</f>
        <v>382446509.12</v>
      </c>
      <c r="C53" s="137">
        <f t="shared" ref="C53:D53" si="13">C14</f>
        <v>488685000.51999998</v>
      </c>
      <c r="D53" s="137">
        <f t="shared" si="13"/>
        <v>423906269.68000001</v>
      </c>
    </row>
    <row r="54" spans="1:4" x14ac:dyDescent="0.25">
      <c r="A54" s="52"/>
      <c r="B54" s="52"/>
      <c r="C54" s="52"/>
      <c r="D54" s="52"/>
    </row>
    <row r="55" spans="1:4" x14ac:dyDescent="0.25">
      <c r="A55" s="51" t="s">
        <v>175</v>
      </c>
      <c r="B55" s="112">
        <f>B18</f>
        <v>0</v>
      </c>
      <c r="C55" s="137">
        <v>2000000</v>
      </c>
      <c r="D55" s="137">
        <v>2000000</v>
      </c>
    </row>
    <row r="56" spans="1:4" x14ac:dyDescent="0.25">
      <c r="A56" s="52"/>
      <c r="B56" s="52"/>
      <c r="C56" s="52"/>
      <c r="D56" s="52"/>
    </row>
    <row r="57" spans="1:4" ht="32.25" customHeight="1" x14ac:dyDescent="0.25">
      <c r="A57" s="109" t="s">
        <v>201</v>
      </c>
      <c r="B57" s="136">
        <f>B48+B49-B53+B55</f>
        <v>0</v>
      </c>
      <c r="C57" s="136">
        <f>C48+C49-C53+C55</f>
        <v>-41643440.079999983</v>
      </c>
      <c r="D57" s="136">
        <f t="shared" ref="D57" si="14">D48+D49-D53+D55</f>
        <v>22735290.75999999</v>
      </c>
    </row>
    <row r="58" spans="1:4" x14ac:dyDescent="0.25">
      <c r="A58" s="60"/>
      <c r="B58" s="60"/>
      <c r="C58" s="60"/>
      <c r="D58" s="60"/>
    </row>
    <row r="59" spans="1:4" ht="30" customHeight="1" x14ac:dyDescent="0.25">
      <c r="A59" s="109" t="s">
        <v>200</v>
      </c>
      <c r="B59" s="136">
        <f>B57-B49</f>
        <v>0</v>
      </c>
      <c r="C59" s="136">
        <f t="shared" ref="C59:D59" si="15">C57-C49</f>
        <v>-75643440.079999983</v>
      </c>
      <c r="D59" s="136">
        <f t="shared" si="15"/>
        <v>-11264709.24000001</v>
      </c>
    </row>
    <row r="60" spans="1:4" x14ac:dyDescent="0.25">
      <c r="A60" s="56"/>
      <c r="B60" s="56"/>
      <c r="C60" s="56"/>
      <c r="D60" s="56"/>
    </row>
    <row r="61" spans="1:4" x14ac:dyDescent="0.25"/>
    <row r="62" spans="1:4" ht="30" x14ac:dyDescent="0.25">
      <c r="A62" s="106" t="s">
        <v>183</v>
      </c>
      <c r="B62" s="43" t="s">
        <v>190</v>
      </c>
      <c r="C62" s="43" t="s">
        <v>167</v>
      </c>
      <c r="D62" s="43" t="s">
        <v>182</v>
      </c>
    </row>
    <row r="63" spans="1:4" x14ac:dyDescent="0.25">
      <c r="A63" s="113" t="s">
        <v>170</v>
      </c>
      <c r="B63" s="137">
        <f>B10</f>
        <v>211659985</v>
      </c>
      <c r="C63" s="137">
        <f t="shared" ref="C63:D63" si="16">C10</f>
        <v>243703276.91999999</v>
      </c>
      <c r="D63" s="137">
        <f t="shared" si="16"/>
        <v>243703276.91999999</v>
      </c>
    </row>
    <row r="64" spans="1:4" ht="30" x14ac:dyDescent="0.25">
      <c r="A64" s="114" t="s">
        <v>202</v>
      </c>
      <c r="B64" s="136">
        <f>B65-B66</f>
        <v>0</v>
      </c>
      <c r="C64" s="136">
        <f t="shared" ref="C64:D64" si="17">C65-C66</f>
        <v>-3743999</v>
      </c>
      <c r="D64" s="136">
        <f t="shared" si="17"/>
        <v>-3743999</v>
      </c>
    </row>
    <row r="65" spans="1:4" x14ac:dyDescent="0.25">
      <c r="A65" s="115" t="s">
        <v>193</v>
      </c>
      <c r="B65" s="137">
        <v>1</v>
      </c>
      <c r="C65" s="137">
        <v>1</v>
      </c>
      <c r="D65" s="137">
        <v>1</v>
      </c>
    </row>
    <row r="66" spans="1:4" x14ac:dyDescent="0.25">
      <c r="A66" s="115" t="s">
        <v>196</v>
      </c>
      <c r="B66" s="137">
        <v>1</v>
      </c>
      <c r="C66" s="137">
        <v>3744000</v>
      </c>
      <c r="D66" s="137">
        <v>3744000</v>
      </c>
    </row>
    <row r="67" spans="1:4" x14ac:dyDescent="0.25">
      <c r="A67" s="52"/>
      <c r="B67" s="12"/>
      <c r="C67" s="12"/>
      <c r="D67" s="12"/>
    </row>
    <row r="68" spans="1:4" x14ac:dyDescent="0.25">
      <c r="A68" s="51" t="s">
        <v>203</v>
      </c>
      <c r="B68" s="137">
        <f>B15</f>
        <v>211659985</v>
      </c>
      <c r="C68" s="137">
        <v>233371926.66999999</v>
      </c>
      <c r="D68" s="137">
        <v>228367093.84999999</v>
      </c>
    </row>
    <row r="69" spans="1:4" x14ac:dyDescent="0.25">
      <c r="A69" s="52"/>
      <c r="B69" s="12"/>
      <c r="C69" s="12"/>
      <c r="D69" s="12"/>
    </row>
    <row r="70" spans="1:4" x14ac:dyDescent="0.25">
      <c r="A70" s="51" t="s">
        <v>176</v>
      </c>
      <c r="B70" s="111">
        <f>B19</f>
        <v>0</v>
      </c>
      <c r="C70" s="137">
        <v>30558201.52</v>
      </c>
      <c r="D70" s="137">
        <v>30558201.52</v>
      </c>
    </row>
    <row r="71" spans="1:4" x14ac:dyDescent="0.25">
      <c r="A71" s="52"/>
      <c r="B71" s="12"/>
      <c r="C71" s="12"/>
      <c r="D71" s="12"/>
    </row>
    <row r="72" spans="1:4" ht="30" customHeight="1" x14ac:dyDescent="0.25">
      <c r="A72" s="109" t="s">
        <v>205</v>
      </c>
      <c r="B72" s="136">
        <f>B63+B64-B68+B70</f>
        <v>0</v>
      </c>
      <c r="C72" s="136">
        <f t="shared" ref="C72:D72" si="18">C63+C64-C68+C70</f>
        <v>37145552.769999996</v>
      </c>
      <c r="D72" s="136">
        <f t="shared" si="18"/>
        <v>42150385.589999989</v>
      </c>
    </row>
    <row r="73" spans="1:4" x14ac:dyDescent="0.25">
      <c r="A73" s="52"/>
      <c r="B73" s="12"/>
      <c r="C73" s="12"/>
      <c r="D73" s="12"/>
    </row>
    <row r="74" spans="1:4" ht="30" customHeight="1" x14ac:dyDescent="0.25">
      <c r="A74" s="109" t="s">
        <v>204</v>
      </c>
      <c r="B74" s="136">
        <f>B72-B64</f>
        <v>0</v>
      </c>
      <c r="C74" s="136">
        <f>C72-C64</f>
        <v>40889551.769999996</v>
      </c>
      <c r="D74" s="136">
        <f t="shared" ref="D74" si="19">D72-D64</f>
        <v>45894384.589999989</v>
      </c>
    </row>
    <row r="75" spans="1:4" x14ac:dyDescent="0.25">
      <c r="A75" s="56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52" right="0.56000000000000005" top="1.41" bottom="0.38" header="0.31496062992125984" footer="0.31496062992125984"/>
  <pageSetup scale="5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597850494.12</v>
      </c>
      <c r="Q2" s="18">
        <f>'Formato 4'!C8</f>
        <v>658488837.36000001</v>
      </c>
      <c r="R2" s="18">
        <f>'Formato 4'!D8</f>
        <v>658088837.36000001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382446509.12</v>
      </c>
      <c r="Q3" s="18">
        <f>'Formato 4'!C9</f>
        <v>411041560.44</v>
      </c>
      <c r="R3" s="18">
        <f>'Formato 4'!D9</f>
        <v>410641560.44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211659985</v>
      </c>
      <c r="Q4" s="18">
        <f>'Formato 4'!C10</f>
        <v>243703276.91999999</v>
      </c>
      <c r="R4" s="18">
        <f>'Formato 4'!D10</f>
        <v>243703276.91999999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3744000</v>
      </c>
      <c r="Q5" s="18">
        <f>'Formato 4'!C11</f>
        <v>3744000</v>
      </c>
      <c r="R5" s="18">
        <f>'Formato 4'!D11</f>
        <v>3744000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594106494.12</v>
      </c>
      <c r="Q6" s="18">
        <f>'Formato 4'!C13</f>
        <v>722056927.18999994</v>
      </c>
      <c r="R6" s="18">
        <f>'Formato 4'!D13</f>
        <v>652273363.52999997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382446509.12</v>
      </c>
      <c r="Q7" s="18">
        <f>'Formato 4'!C14</f>
        <v>488685000.51999998</v>
      </c>
      <c r="R7" s="18">
        <f>'Formato 4'!D14</f>
        <v>423906269.68000001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211659985</v>
      </c>
      <c r="Q8" s="18">
        <f>'Formato 4'!C15</f>
        <v>233371926.66999999</v>
      </c>
      <c r="R8" s="18">
        <f>'Formato 4'!D15</f>
        <v>228367093.84999999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32558201.52</v>
      </c>
      <c r="R9" s="18">
        <f>'Formato 4'!D17</f>
        <v>32558201.52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2000000</v>
      </c>
      <c r="R10" s="18">
        <f>'Formato 4'!D18</f>
        <v>2000000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30558201.52</v>
      </c>
      <c r="R11" s="18">
        <f>'Formato 4'!D19</f>
        <v>30558201.52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3744000</v>
      </c>
      <c r="Q12" s="18">
        <f>'Formato 4'!C21</f>
        <v>-31009888.309999924</v>
      </c>
      <c r="R12" s="18">
        <f>'Formato 4'!D21</f>
        <v>38373675.350000039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-34753888.309999928</v>
      </c>
      <c r="R13" s="18">
        <f>'Formato 4'!D23</f>
        <v>34629675.350000039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-67312089.829999924</v>
      </c>
      <c r="R14" s="18">
        <f>'Formato 4'!D25</f>
        <v>2071473.8300000392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1845212.2</v>
      </c>
      <c r="Q15">
        <f>'Formato 4'!C29</f>
        <v>1049326.97</v>
      </c>
      <c r="R15">
        <f>'Formato 4'!D29</f>
        <v>1049326.97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1845212.2</v>
      </c>
      <c r="Q17">
        <f>'Formato 4'!C31</f>
        <v>1049326.97</v>
      </c>
      <c r="R17">
        <f>'Formato 4'!D31</f>
        <v>1049326.97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1845212.2</v>
      </c>
      <c r="Q18">
        <f>'Formato 4'!C33</f>
        <v>-66262762.859999925</v>
      </c>
      <c r="R18">
        <f>'Formato 4'!D33</f>
        <v>3120800.8000000389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3744000</v>
      </c>
      <c r="Q22">
        <f>'Formato 4'!C40</f>
        <v>3744000</v>
      </c>
      <c r="R22">
        <f>'Formato 4'!D40</f>
        <v>3744000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3744000</v>
      </c>
      <c r="Q24">
        <f>'Formato 4'!C42</f>
        <v>3744000</v>
      </c>
      <c r="R24">
        <f>'Formato 4'!D42</f>
        <v>3744000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-3744000</v>
      </c>
      <c r="Q25">
        <f>'Formato 4'!C44</f>
        <v>-3744000</v>
      </c>
      <c r="R25">
        <f>'Formato 4'!D44</f>
        <v>-3744000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382446509.12</v>
      </c>
      <c r="Q26">
        <f>'Formato 4'!C48</f>
        <v>411041560.44</v>
      </c>
      <c r="R26">
        <f>'Formato 4'!D48</f>
        <v>410641560.44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34000000</v>
      </c>
      <c r="R27">
        <f>'Formato 4'!D49</f>
        <v>34000000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34000000</v>
      </c>
      <c r="R28">
        <f>'Formato 4'!D50</f>
        <v>34000000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382446509.12</v>
      </c>
      <c r="Q30">
        <f>'Formato 4'!C53</f>
        <v>488685000.51999998</v>
      </c>
      <c r="R30">
        <f>'Formato 4'!D53</f>
        <v>423906269.68000001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2000000</v>
      </c>
      <c r="R31">
        <f>'Formato 4'!D55</f>
        <v>2000000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211659985</v>
      </c>
      <c r="Q32">
        <f>'Formato 4'!C63</f>
        <v>243703276.91999999</v>
      </c>
      <c r="R32">
        <f>'Formato 4'!D63</f>
        <v>243703276.91999999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-3743999</v>
      </c>
      <c r="R33">
        <f>'Formato 4'!D64</f>
        <v>-3743999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1</v>
      </c>
      <c r="Q34">
        <f>'Formato 4'!C65</f>
        <v>1</v>
      </c>
      <c r="R34">
        <f>'Formato 4'!D65</f>
        <v>1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1</v>
      </c>
      <c r="Q35">
        <f>'Formato 4'!C66</f>
        <v>3744000</v>
      </c>
      <c r="R35">
        <f>'Formato 4'!D66</f>
        <v>3744000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211659985</v>
      </c>
      <c r="Q36">
        <f>'Formato 4'!C68</f>
        <v>233371926.66999999</v>
      </c>
      <c r="R36">
        <f>'Formato 4'!D68</f>
        <v>228367093.84999999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30558201.52</v>
      </c>
      <c r="R37">
        <f>'Formato 4'!D70</f>
        <v>30558201.52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37145552.769999996</v>
      </c>
      <c r="R38">
        <f>'Formato 4'!D72</f>
        <v>42150385.589999989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40889551.769999996</v>
      </c>
      <c r="R39">
        <f>'Formato 4'!D74</f>
        <v>45894384.589999989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B21" sqref="B2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81" customFormat="1" ht="37.5" customHeight="1" x14ac:dyDescent="0.25">
      <c r="A1" s="162" t="s">
        <v>206</v>
      </c>
      <c r="B1" s="162"/>
      <c r="C1" s="162"/>
      <c r="D1" s="162"/>
      <c r="E1" s="162"/>
      <c r="F1" s="162"/>
      <c r="G1" s="162"/>
    </row>
    <row r="2" spans="1:8" ht="14.25" x14ac:dyDescent="0.45">
      <c r="A2" s="144" t="str">
        <f>ENTE_PUBLICO_A</f>
        <v>MUNICIPIO DE SILAO DE LA VICTORIA, Gobierno del Estado de Guanajuato (a)</v>
      </c>
      <c r="B2" s="145"/>
      <c r="C2" s="145"/>
      <c r="D2" s="145"/>
      <c r="E2" s="145"/>
      <c r="F2" s="145"/>
      <c r="G2" s="146"/>
    </row>
    <row r="3" spans="1:8" x14ac:dyDescent="0.25">
      <c r="A3" s="147" t="s">
        <v>207</v>
      </c>
      <c r="B3" s="148"/>
      <c r="C3" s="148"/>
      <c r="D3" s="148"/>
      <c r="E3" s="148"/>
      <c r="F3" s="148"/>
      <c r="G3" s="149"/>
    </row>
    <row r="4" spans="1:8" ht="14.25" x14ac:dyDescent="0.45">
      <c r="A4" s="150" t="str">
        <f>TRIMESTRE</f>
        <v>Del 1 de enero al 31 de diciembre de 2020 (b)</v>
      </c>
      <c r="B4" s="151"/>
      <c r="C4" s="151"/>
      <c r="D4" s="151"/>
      <c r="E4" s="151"/>
      <c r="F4" s="151"/>
      <c r="G4" s="152"/>
    </row>
    <row r="5" spans="1:8" ht="14.25" x14ac:dyDescent="0.45">
      <c r="A5" s="153" t="s">
        <v>118</v>
      </c>
      <c r="B5" s="154"/>
      <c r="C5" s="154"/>
      <c r="D5" s="154"/>
      <c r="E5" s="154"/>
      <c r="F5" s="154"/>
      <c r="G5" s="155"/>
    </row>
    <row r="6" spans="1:8" x14ac:dyDescent="0.25">
      <c r="A6" s="159" t="s">
        <v>214</v>
      </c>
      <c r="B6" s="161" t="s">
        <v>208</v>
      </c>
      <c r="C6" s="161"/>
      <c r="D6" s="161"/>
      <c r="E6" s="161"/>
      <c r="F6" s="161"/>
      <c r="G6" s="161" t="s">
        <v>209</v>
      </c>
    </row>
    <row r="7" spans="1:8" ht="30" x14ac:dyDescent="0.25">
      <c r="A7" s="160"/>
      <c r="B7" s="44" t="s">
        <v>210</v>
      </c>
      <c r="C7" s="43" t="s">
        <v>211</v>
      </c>
      <c r="D7" s="44" t="s">
        <v>212</v>
      </c>
      <c r="E7" s="44" t="s">
        <v>167</v>
      </c>
      <c r="F7" s="44" t="s">
        <v>213</v>
      </c>
      <c r="G7" s="161"/>
    </row>
    <row r="8" spans="1:8" x14ac:dyDescent="0.25">
      <c r="A8" s="50" t="s">
        <v>215</v>
      </c>
      <c r="B8" s="12"/>
      <c r="C8" s="12"/>
      <c r="D8" s="12"/>
      <c r="E8" s="12"/>
      <c r="F8" s="12"/>
      <c r="G8" s="12"/>
    </row>
    <row r="9" spans="1:8" x14ac:dyDescent="0.25">
      <c r="A9" s="51" t="s">
        <v>216</v>
      </c>
      <c r="B9" s="137">
        <v>134407348</v>
      </c>
      <c r="C9" s="137">
        <v>24647214.190000001</v>
      </c>
      <c r="D9" s="137">
        <v>159054562.19</v>
      </c>
      <c r="E9" s="137">
        <v>122853349.67</v>
      </c>
      <c r="F9" s="137">
        <v>122853349.67</v>
      </c>
      <c r="G9" s="137">
        <f>F9-B9</f>
        <v>-11553998.329999998</v>
      </c>
      <c r="H9" s="8"/>
    </row>
    <row r="10" spans="1:8" x14ac:dyDescent="0.25">
      <c r="A10" s="51" t="s">
        <v>217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f t="shared" ref="G10:G15" si="0">F10-B10</f>
        <v>0</v>
      </c>
    </row>
    <row r="11" spans="1:8" x14ac:dyDescent="0.25">
      <c r="A11" s="51" t="s">
        <v>218</v>
      </c>
      <c r="B11" s="137">
        <v>36613</v>
      </c>
      <c r="C11" s="137" t="s">
        <v>3295</v>
      </c>
      <c r="D11" s="137">
        <v>36613</v>
      </c>
      <c r="E11" s="137">
        <v>20955.41</v>
      </c>
      <c r="F11" s="137">
        <v>20955.41</v>
      </c>
      <c r="G11" s="137">
        <f t="shared" si="0"/>
        <v>-15657.59</v>
      </c>
    </row>
    <row r="12" spans="1:8" x14ac:dyDescent="0.25">
      <c r="A12" s="51" t="s">
        <v>219</v>
      </c>
      <c r="B12" s="137">
        <v>24947117.699999999</v>
      </c>
      <c r="C12" s="137">
        <v>265000</v>
      </c>
      <c r="D12" s="137">
        <v>25212117.699999999</v>
      </c>
      <c r="E12" s="137">
        <v>17101016.640000001</v>
      </c>
      <c r="F12" s="137">
        <v>17101016.640000001</v>
      </c>
      <c r="G12" s="137">
        <f t="shared" si="0"/>
        <v>-7846101.0599999987</v>
      </c>
    </row>
    <row r="13" spans="1:8" x14ac:dyDescent="0.25">
      <c r="A13" s="51" t="s">
        <v>220</v>
      </c>
      <c r="B13" s="137">
        <v>4637432.42</v>
      </c>
      <c r="C13" s="137" t="s">
        <v>3295</v>
      </c>
      <c r="D13" s="137">
        <v>4637432.42</v>
      </c>
      <c r="E13" s="137">
        <v>3735587.51</v>
      </c>
      <c r="F13" s="137">
        <v>3735587.51</v>
      </c>
      <c r="G13" s="137">
        <f t="shared" si="0"/>
        <v>-901844.91000000015</v>
      </c>
    </row>
    <row r="14" spans="1:8" x14ac:dyDescent="0.25">
      <c r="A14" s="51" t="s">
        <v>221</v>
      </c>
      <c r="B14" s="137">
        <v>6784310</v>
      </c>
      <c r="C14" s="137" t="s">
        <v>3295</v>
      </c>
      <c r="D14" s="137">
        <v>6784310</v>
      </c>
      <c r="E14" s="137">
        <v>5403984.7699999996</v>
      </c>
      <c r="F14" s="137">
        <v>5403984.7699999996</v>
      </c>
      <c r="G14" s="137">
        <f t="shared" si="0"/>
        <v>-1380325.2300000004</v>
      </c>
    </row>
    <row r="15" spans="1:8" x14ac:dyDescent="0.25">
      <c r="A15" s="51" t="s">
        <v>222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f t="shared" si="0"/>
        <v>0</v>
      </c>
    </row>
    <row r="16" spans="1:8" x14ac:dyDescent="0.25">
      <c r="A16" s="10" t="s">
        <v>275</v>
      </c>
      <c r="B16" s="136">
        <f>SUM(B17:B27)</f>
        <v>207848721</v>
      </c>
      <c r="C16" s="136">
        <f t="shared" ref="C16:F16" si="1">SUM(C17:C27)</f>
        <v>45844495.040000007</v>
      </c>
      <c r="D16" s="136">
        <f t="shared" si="1"/>
        <v>253693216.03999999</v>
      </c>
      <c r="E16" s="136">
        <f t="shared" si="1"/>
        <v>255351350.04000002</v>
      </c>
      <c r="F16" s="136">
        <f t="shared" si="1"/>
        <v>255351350.04000002</v>
      </c>
      <c r="G16" s="136">
        <f>SUM(G17:G27)</f>
        <v>47502629.040000014</v>
      </c>
    </row>
    <row r="17" spans="1:7" x14ac:dyDescent="0.25">
      <c r="A17" s="61" t="s">
        <v>223</v>
      </c>
      <c r="B17" s="137">
        <v>143155540</v>
      </c>
      <c r="C17" s="137">
        <v>16779772.059999999</v>
      </c>
      <c r="D17" s="137">
        <f t="shared" ref="D17:D27" si="2">+B17+C17</f>
        <v>159935312.06</v>
      </c>
      <c r="E17" s="137">
        <v>156125369.58000001</v>
      </c>
      <c r="F17" s="137">
        <v>156125369.58000001</v>
      </c>
      <c r="G17" s="137">
        <f>F17-B17</f>
        <v>12969829.580000013</v>
      </c>
    </row>
    <row r="18" spans="1:7" x14ac:dyDescent="0.25">
      <c r="A18" s="61" t="s">
        <v>224</v>
      </c>
      <c r="B18" s="137">
        <v>23933422</v>
      </c>
      <c r="C18" s="137">
        <v>18416694</v>
      </c>
      <c r="D18" s="137">
        <f t="shared" si="2"/>
        <v>42350116</v>
      </c>
      <c r="E18" s="137">
        <v>48812431.43</v>
      </c>
      <c r="F18" s="137">
        <v>48812431.43</v>
      </c>
      <c r="G18" s="137">
        <f t="shared" ref="G18:G27" si="3">F18-B18</f>
        <v>24879009.43</v>
      </c>
    </row>
    <row r="19" spans="1:7" x14ac:dyDescent="0.25">
      <c r="A19" s="61" t="s">
        <v>225</v>
      </c>
      <c r="B19" s="137">
        <v>10756887</v>
      </c>
      <c r="C19" s="137">
        <v>1865767</v>
      </c>
      <c r="D19" s="137">
        <f t="shared" si="2"/>
        <v>12622654</v>
      </c>
      <c r="E19" s="137">
        <v>12234005.939999999</v>
      </c>
      <c r="F19" s="137">
        <v>12234005.939999999</v>
      </c>
      <c r="G19" s="137">
        <f t="shared" si="3"/>
        <v>1477118.9399999995</v>
      </c>
    </row>
    <row r="20" spans="1:7" x14ac:dyDescent="0.25">
      <c r="A20" s="61" t="s">
        <v>226</v>
      </c>
      <c r="B20" s="137">
        <v>0</v>
      </c>
      <c r="C20" s="137">
        <v>0</v>
      </c>
      <c r="D20" s="137">
        <f t="shared" si="2"/>
        <v>0</v>
      </c>
      <c r="E20" s="137">
        <v>0</v>
      </c>
      <c r="F20" s="137">
        <v>0</v>
      </c>
      <c r="G20" s="137">
        <f t="shared" si="3"/>
        <v>0</v>
      </c>
    </row>
    <row r="21" spans="1:7" x14ac:dyDescent="0.25">
      <c r="A21" s="61" t="s">
        <v>227</v>
      </c>
      <c r="B21" s="137">
        <v>0</v>
      </c>
      <c r="C21" s="137">
        <v>0</v>
      </c>
      <c r="D21" s="137">
        <f t="shared" si="2"/>
        <v>0</v>
      </c>
      <c r="E21" s="137">
        <v>0</v>
      </c>
      <c r="F21" s="137">
        <v>0</v>
      </c>
      <c r="G21" s="137">
        <f t="shared" si="3"/>
        <v>0</v>
      </c>
    </row>
    <row r="22" spans="1:7" x14ac:dyDescent="0.25">
      <c r="A22" s="61" t="s">
        <v>228</v>
      </c>
      <c r="B22" s="137">
        <v>2621960</v>
      </c>
      <c r="C22" s="137">
        <v>1551970</v>
      </c>
      <c r="D22" s="137">
        <f t="shared" si="2"/>
        <v>4173930</v>
      </c>
      <c r="E22" s="137">
        <v>3226671.88</v>
      </c>
      <c r="F22" s="137">
        <v>3226671.88</v>
      </c>
      <c r="G22" s="137">
        <f t="shared" si="3"/>
        <v>604711.87999999989</v>
      </c>
    </row>
    <row r="23" spans="1:7" x14ac:dyDescent="0.25">
      <c r="A23" s="61" t="s">
        <v>229</v>
      </c>
      <c r="B23" s="137">
        <v>0</v>
      </c>
      <c r="C23" s="137">
        <v>0</v>
      </c>
      <c r="D23" s="137">
        <f t="shared" si="2"/>
        <v>0</v>
      </c>
      <c r="E23" s="137">
        <v>0</v>
      </c>
      <c r="F23" s="137">
        <v>0</v>
      </c>
      <c r="G23" s="137">
        <f t="shared" si="3"/>
        <v>0</v>
      </c>
    </row>
    <row r="24" spans="1:7" x14ac:dyDescent="0.25">
      <c r="A24" s="61" t="s">
        <v>230</v>
      </c>
      <c r="B24" s="137">
        <v>0</v>
      </c>
      <c r="C24" s="137">
        <v>0</v>
      </c>
      <c r="D24" s="137">
        <f t="shared" si="2"/>
        <v>0</v>
      </c>
      <c r="E24" s="137">
        <v>0</v>
      </c>
      <c r="F24" s="137">
        <v>0</v>
      </c>
      <c r="G24" s="137">
        <f t="shared" si="3"/>
        <v>0</v>
      </c>
    </row>
    <row r="25" spans="1:7" x14ac:dyDescent="0.25">
      <c r="A25" s="61" t="s">
        <v>231</v>
      </c>
      <c r="B25" s="137">
        <v>6174736</v>
      </c>
      <c r="C25" s="137">
        <v>0</v>
      </c>
      <c r="D25" s="137">
        <f t="shared" si="2"/>
        <v>6174736</v>
      </c>
      <c r="E25" s="137">
        <v>4163804.21</v>
      </c>
      <c r="F25" s="137">
        <v>4163804.21</v>
      </c>
      <c r="G25" s="137">
        <f t="shared" si="3"/>
        <v>-2010931.79</v>
      </c>
    </row>
    <row r="26" spans="1:7" x14ac:dyDescent="0.25">
      <c r="A26" s="61" t="s">
        <v>232</v>
      </c>
      <c r="B26" s="137">
        <v>21206176</v>
      </c>
      <c r="C26" s="137">
        <v>7230291.9800000004</v>
      </c>
      <c r="D26" s="137">
        <f t="shared" si="2"/>
        <v>28436467.98</v>
      </c>
      <c r="E26" s="137">
        <v>30789067</v>
      </c>
      <c r="F26" s="137">
        <v>30789067</v>
      </c>
      <c r="G26" s="137">
        <f t="shared" si="3"/>
        <v>9582891</v>
      </c>
    </row>
    <row r="27" spans="1:7" x14ac:dyDescent="0.25">
      <c r="A27" s="61" t="s">
        <v>233</v>
      </c>
      <c r="B27" s="137">
        <v>0</v>
      </c>
      <c r="C27" s="137">
        <v>0</v>
      </c>
      <c r="D27" s="137">
        <f t="shared" si="2"/>
        <v>0</v>
      </c>
      <c r="E27" s="137">
        <v>0</v>
      </c>
      <c r="F27" s="137">
        <v>0</v>
      </c>
      <c r="G27" s="137">
        <f t="shared" si="3"/>
        <v>0</v>
      </c>
    </row>
    <row r="28" spans="1:7" x14ac:dyDescent="0.25">
      <c r="A28" s="51" t="s">
        <v>234</v>
      </c>
      <c r="B28" s="136">
        <f>SUM(B29:B33)</f>
        <v>3784967</v>
      </c>
      <c r="C28" s="136">
        <f t="shared" ref="C28:G28" si="4">SUM(C29:C33)</f>
        <v>2199400</v>
      </c>
      <c r="D28" s="136">
        <f t="shared" si="4"/>
        <v>5984367</v>
      </c>
      <c r="E28" s="136">
        <f t="shared" si="4"/>
        <v>4030159.19</v>
      </c>
      <c r="F28" s="136">
        <f t="shared" si="4"/>
        <v>4030159.19</v>
      </c>
      <c r="G28" s="136">
        <f t="shared" si="4"/>
        <v>245192.18999999994</v>
      </c>
    </row>
    <row r="29" spans="1:7" x14ac:dyDescent="0.25">
      <c r="A29" s="61" t="s">
        <v>235</v>
      </c>
      <c r="B29" s="137">
        <v>13121</v>
      </c>
      <c r="C29" s="137">
        <v>0</v>
      </c>
      <c r="D29" s="137">
        <f t="shared" ref="D29:D34" si="5">+B29+C29</f>
        <v>13121</v>
      </c>
      <c r="E29" s="137">
        <v>23697.09</v>
      </c>
      <c r="F29" s="137">
        <v>23697.09</v>
      </c>
      <c r="G29" s="137">
        <f>F29-B29</f>
        <v>10576.09</v>
      </c>
    </row>
    <row r="30" spans="1:7" x14ac:dyDescent="0.25">
      <c r="A30" s="61" t="s">
        <v>236</v>
      </c>
      <c r="B30" s="137">
        <v>463313</v>
      </c>
      <c r="C30" s="137">
        <v>0</v>
      </c>
      <c r="D30" s="137">
        <f t="shared" si="5"/>
        <v>463313</v>
      </c>
      <c r="E30" s="137">
        <v>520535.12</v>
      </c>
      <c r="F30" s="137">
        <v>520535.12</v>
      </c>
      <c r="G30" s="137">
        <f>F30-B30</f>
        <v>57222.119999999995</v>
      </c>
    </row>
    <row r="31" spans="1:7" x14ac:dyDescent="0.25">
      <c r="A31" s="61" t="s">
        <v>237</v>
      </c>
      <c r="B31" s="137">
        <v>2504453</v>
      </c>
      <c r="C31" s="137">
        <v>-329000</v>
      </c>
      <c r="D31" s="137">
        <f t="shared" si="5"/>
        <v>2175453</v>
      </c>
      <c r="E31" s="137">
        <v>1843690.58</v>
      </c>
      <c r="F31" s="137">
        <v>1843690.58</v>
      </c>
      <c r="G31" s="137">
        <f t="shared" ref="G31:G36" si="6">F31-B31</f>
        <v>-660762.41999999993</v>
      </c>
    </row>
    <row r="32" spans="1:7" x14ac:dyDescent="0.25">
      <c r="A32" s="61" t="s">
        <v>238</v>
      </c>
      <c r="B32" s="137">
        <v>0</v>
      </c>
      <c r="C32" s="137">
        <v>0</v>
      </c>
      <c r="D32" s="137">
        <f t="shared" si="5"/>
        <v>0</v>
      </c>
      <c r="E32" s="137">
        <v>0</v>
      </c>
      <c r="F32" s="137">
        <v>0</v>
      </c>
      <c r="G32" s="137">
        <f t="shared" si="6"/>
        <v>0</v>
      </c>
    </row>
    <row r="33" spans="1:8" x14ac:dyDescent="0.25">
      <c r="A33" s="61" t="s">
        <v>239</v>
      </c>
      <c r="B33" s="137">
        <v>804080</v>
      </c>
      <c r="C33" s="137">
        <v>2528400</v>
      </c>
      <c r="D33" s="137">
        <f t="shared" si="5"/>
        <v>3332480</v>
      </c>
      <c r="E33" s="137">
        <v>1642236.4</v>
      </c>
      <c r="F33" s="137">
        <v>1642236.4</v>
      </c>
      <c r="G33" s="137">
        <f t="shared" si="6"/>
        <v>838156.39999999991</v>
      </c>
    </row>
    <row r="34" spans="1:8" x14ac:dyDescent="0.25">
      <c r="A34" s="51" t="s">
        <v>240</v>
      </c>
      <c r="B34" s="137">
        <v>0</v>
      </c>
      <c r="C34" s="137">
        <v>0</v>
      </c>
      <c r="D34" s="137">
        <f t="shared" si="5"/>
        <v>0</v>
      </c>
      <c r="E34" s="137">
        <v>0</v>
      </c>
      <c r="F34" s="137">
        <v>0</v>
      </c>
      <c r="G34" s="137">
        <f t="shared" si="6"/>
        <v>0</v>
      </c>
    </row>
    <row r="35" spans="1:8" x14ac:dyDescent="0.25">
      <c r="A35" s="51" t="s">
        <v>241</v>
      </c>
      <c r="B35" s="136">
        <f>B36</f>
        <v>0</v>
      </c>
      <c r="C35" s="136">
        <f t="shared" ref="C35:F35" si="7">C36</f>
        <v>3352761.91</v>
      </c>
      <c r="D35" s="136">
        <f t="shared" si="7"/>
        <v>3352761.91</v>
      </c>
      <c r="E35" s="136">
        <f t="shared" si="7"/>
        <v>2545157.21</v>
      </c>
      <c r="F35" s="136">
        <f t="shared" si="7"/>
        <v>2545157.21</v>
      </c>
      <c r="G35" s="136">
        <f>G36</f>
        <v>2545157.21</v>
      </c>
    </row>
    <row r="36" spans="1:8" x14ac:dyDescent="0.25">
      <c r="A36" s="61" t="s">
        <v>242</v>
      </c>
      <c r="B36" s="137">
        <v>0</v>
      </c>
      <c r="C36" s="137">
        <v>3352761.91</v>
      </c>
      <c r="D36" s="137">
        <f>+B36+C36</f>
        <v>3352761.91</v>
      </c>
      <c r="E36" s="137">
        <v>2545157.21</v>
      </c>
      <c r="F36" s="137">
        <v>2545157.21</v>
      </c>
      <c r="G36" s="137">
        <f t="shared" si="6"/>
        <v>2545157.21</v>
      </c>
    </row>
    <row r="37" spans="1:8" x14ac:dyDescent="0.25">
      <c r="A37" s="51" t="s">
        <v>243</v>
      </c>
      <c r="B37" s="136">
        <f>B38+B39</f>
        <v>0</v>
      </c>
      <c r="C37" s="136">
        <f t="shared" ref="C37:G37" si="8">C38+C39</f>
        <v>0</v>
      </c>
      <c r="D37" s="136">
        <f t="shared" si="8"/>
        <v>0</v>
      </c>
      <c r="E37" s="136">
        <f t="shared" si="8"/>
        <v>0</v>
      </c>
      <c r="F37" s="136">
        <f t="shared" si="8"/>
        <v>0</v>
      </c>
      <c r="G37" s="136">
        <f t="shared" si="8"/>
        <v>0</v>
      </c>
    </row>
    <row r="38" spans="1:8" x14ac:dyDescent="0.25">
      <c r="A38" s="61" t="s">
        <v>244</v>
      </c>
      <c r="B38" s="137">
        <v>0</v>
      </c>
      <c r="C38" s="137">
        <v>0</v>
      </c>
      <c r="D38" s="137">
        <v>0</v>
      </c>
      <c r="E38" s="137">
        <v>0</v>
      </c>
      <c r="F38" s="137">
        <v>0</v>
      </c>
      <c r="G38" s="137">
        <f t="shared" ref="G38:G39" si="9">F38-B38</f>
        <v>0</v>
      </c>
    </row>
    <row r="39" spans="1:8" x14ac:dyDescent="0.25">
      <c r="A39" s="61" t="s">
        <v>245</v>
      </c>
      <c r="B39" s="137">
        <v>0</v>
      </c>
      <c r="C39" s="137">
        <v>0</v>
      </c>
      <c r="D39" s="137">
        <v>0</v>
      </c>
      <c r="E39" s="137">
        <v>0</v>
      </c>
      <c r="F39" s="137">
        <v>0</v>
      </c>
      <c r="G39" s="137">
        <f t="shared" si="9"/>
        <v>0</v>
      </c>
    </row>
    <row r="40" spans="1:8" x14ac:dyDescent="0.25">
      <c r="A40" s="52"/>
      <c r="B40" s="58"/>
      <c r="C40" s="58"/>
      <c r="D40" s="58"/>
      <c r="E40" s="58"/>
      <c r="F40" s="58"/>
      <c r="G40" s="58"/>
    </row>
    <row r="41" spans="1:8" x14ac:dyDescent="0.25">
      <c r="A41" s="53" t="s">
        <v>276</v>
      </c>
      <c r="B41" s="136">
        <f>SUM(B9,B10,B11,B12,B13,B14,B15,B16,B28,B34,B35,B37)</f>
        <v>382446509.12</v>
      </c>
      <c r="C41" s="136">
        <f t="shared" ref="C41:E41" si="10">SUM(C9,C10,C11,C12,C13,C14,C15,C16,C28,C34,C35,C37)</f>
        <v>76308871.140000001</v>
      </c>
      <c r="D41" s="136">
        <f t="shared" si="10"/>
        <v>458755380.25999999</v>
      </c>
      <c r="E41" s="136">
        <f t="shared" si="10"/>
        <v>411041560.44</v>
      </c>
      <c r="F41" s="136">
        <f>SUM(F9,F10,F11,F12,F13,F14,F15,F16,F28,F34,F35,F37)</f>
        <v>411041560.44</v>
      </c>
      <c r="G41" s="136">
        <f>SUM(G9,G10,G11,G12,G13,G14,G15,G16,G28,G34,G35,G37)</f>
        <v>28595051.320000019</v>
      </c>
    </row>
    <row r="42" spans="1:8" x14ac:dyDescent="0.25">
      <c r="A42" s="53" t="s">
        <v>246</v>
      </c>
      <c r="B42" s="116"/>
      <c r="C42" s="116"/>
      <c r="D42" s="116"/>
      <c r="E42" s="116"/>
      <c r="F42" s="116"/>
      <c r="G42" s="136">
        <f>IF(G41&gt;0,G41,0)</f>
        <v>28595051.320000019</v>
      </c>
      <c r="H42" s="8"/>
    </row>
    <row r="43" spans="1:8" x14ac:dyDescent="0.25">
      <c r="A43" s="52"/>
      <c r="B43" s="52"/>
      <c r="C43" s="52"/>
      <c r="D43" s="52"/>
      <c r="E43" s="52"/>
      <c r="F43" s="52"/>
      <c r="G43" s="52"/>
    </row>
    <row r="44" spans="1:8" x14ac:dyDescent="0.25">
      <c r="A44" s="53" t="s">
        <v>247</v>
      </c>
      <c r="B44" s="52"/>
      <c r="C44" s="52"/>
      <c r="D44" s="52"/>
      <c r="E44" s="52"/>
      <c r="F44" s="52"/>
      <c r="G44" s="52"/>
    </row>
    <row r="45" spans="1:8" x14ac:dyDescent="0.25">
      <c r="A45" s="51" t="s">
        <v>248</v>
      </c>
      <c r="B45" s="136">
        <f>SUM(B46:B53)</f>
        <v>211659985</v>
      </c>
      <c r="C45" s="136">
        <f t="shared" ref="C45:G45" si="11">SUM(C46:C53)</f>
        <v>5742058</v>
      </c>
      <c r="D45" s="136">
        <f t="shared" si="11"/>
        <v>217402043</v>
      </c>
      <c r="E45" s="136">
        <f t="shared" si="11"/>
        <v>217402043</v>
      </c>
      <c r="F45" s="136">
        <f t="shared" si="11"/>
        <v>217402043</v>
      </c>
      <c r="G45" s="136">
        <f t="shared" si="11"/>
        <v>5742058</v>
      </c>
    </row>
    <row r="46" spans="1:8" x14ac:dyDescent="0.25">
      <c r="A46" s="65" t="s">
        <v>249</v>
      </c>
      <c r="B46" s="137">
        <v>0</v>
      </c>
      <c r="C46" s="137">
        <v>0</v>
      </c>
      <c r="D46" s="137">
        <v>0</v>
      </c>
      <c r="E46" s="137">
        <v>0</v>
      </c>
      <c r="F46" s="137">
        <v>0</v>
      </c>
      <c r="G46" s="137">
        <f t="shared" ref="G46:G47" si="12">F46-B46</f>
        <v>0</v>
      </c>
    </row>
    <row r="47" spans="1:8" x14ac:dyDescent="0.25">
      <c r="A47" s="65" t="s">
        <v>250</v>
      </c>
      <c r="B47" s="137">
        <v>0</v>
      </c>
      <c r="C47" s="137">
        <v>0</v>
      </c>
      <c r="D47" s="137">
        <v>0</v>
      </c>
      <c r="E47" s="137">
        <v>0</v>
      </c>
      <c r="F47" s="137">
        <v>0</v>
      </c>
      <c r="G47" s="137">
        <f t="shared" si="12"/>
        <v>0</v>
      </c>
    </row>
    <row r="48" spans="1:8" x14ac:dyDescent="0.25">
      <c r="A48" s="65" t="s">
        <v>251</v>
      </c>
      <c r="B48" s="137">
        <v>83371662</v>
      </c>
      <c r="C48" s="137">
        <v>2078042</v>
      </c>
      <c r="D48" s="137">
        <v>85449704</v>
      </c>
      <c r="E48" s="137">
        <v>85449704</v>
      </c>
      <c r="F48" s="137">
        <v>85449704</v>
      </c>
      <c r="G48" s="137">
        <f t="shared" ref="G48:G53" si="13">F48-B48</f>
        <v>2078042</v>
      </c>
    </row>
    <row r="49" spans="1:7" ht="30" x14ac:dyDescent="0.25">
      <c r="A49" s="65" t="s">
        <v>252</v>
      </c>
      <c r="B49" s="137">
        <v>128288323</v>
      </c>
      <c r="C49" s="137">
        <v>3664016</v>
      </c>
      <c r="D49" s="137">
        <f>+B49+C49</f>
        <v>131952339</v>
      </c>
      <c r="E49" s="137">
        <v>131952339</v>
      </c>
      <c r="F49" s="137">
        <v>131952339</v>
      </c>
      <c r="G49" s="137">
        <f t="shared" si="13"/>
        <v>3664016</v>
      </c>
    </row>
    <row r="50" spans="1:7" x14ac:dyDescent="0.25">
      <c r="A50" s="65" t="s">
        <v>253</v>
      </c>
      <c r="B50" s="137">
        <v>0</v>
      </c>
      <c r="C50" s="137">
        <v>0</v>
      </c>
      <c r="D50" s="137">
        <v>0</v>
      </c>
      <c r="E50" s="137">
        <v>0</v>
      </c>
      <c r="F50" s="137">
        <v>0</v>
      </c>
      <c r="G50" s="137">
        <f t="shared" si="13"/>
        <v>0</v>
      </c>
    </row>
    <row r="51" spans="1:7" x14ac:dyDescent="0.25">
      <c r="A51" s="65" t="s">
        <v>254</v>
      </c>
      <c r="B51" s="137">
        <v>0</v>
      </c>
      <c r="C51" s="137">
        <v>0</v>
      </c>
      <c r="D51" s="137">
        <v>0</v>
      </c>
      <c r="E51" s="137">
        <v>0</v>
      </c>
      <c r="F51" s="137">
        <v>0</v>
      </c>
      <c r="G51" s="137">
        <f t="shared" si="13"/>
        <v>0</v>
      </c>
    </row>
    <row r="52" spans="1:7" x14ac:dyDescent="0.25">
      <c r="A52" s="46" t="s">
        <v>255</v>
      </c>
      <c r="B52" s="137">
        <v>0</v>
      </c>
      <c r="C52" s="137">
        <v>0</v>
      </c>
      <c r="D52" s="137">
        <v>0</v>
      </c>
      <c r="E52" s="137">
        <v>0</v>
      </c>
      <c r="F52" s="137">
        <v>0</v>
      </c>
      <c r="G52" s="137">
        <f t="shared" si="13"/>
        <v>0</v>
      </c>
    </row>
    <row r="53" spans="1:7" x14ac:dyDescent="0.25">
      <c r="A53" s="61" t="s">
        <v>256</v>
      </c>
      <c r="B53" s="137">
        <v>0</v>
      </c>
      <c r="C53" s="137">
        <v>0</v>
      </c>
      <c r="D53" s="137">
        <v>0</v>
      </c>
      <c r="E53" s="137">
        <v>0</v>
      </c>
      <c r="F53" s="137">
        <v>0</v>
      </c>
      <c r="G53" s="137">
        <f t="shared" si="13"/>
        <v>0</v>
      </c>
    </row>
    <row r="54" spans="1:7" x14ac:dyDescent="0.25">
      <c r="A54" s="51" t="s">
        <v>257</v>
      </c>
      <c r="B54" s="136">
        <f>SUM(B55:B58)</f>
        <v>0</v>
      </c>
      <c r="C54" s="136">
        <f t="shared" ref="C54:G54" si="14">SUM(C55:C58)</f>
        <v>39935191.659999996</v>
      </c>
      <c r="D54" s="136">
        <f t="shared" si="14"/>
        <v>39935191.659999996</v>
      </c>
      <c r="E54" s="136">
        <f t="shared" si="14"/>
        <v>36778917.079999998</v>
      </c>
      <c r="F54" s="136">
        <f t="shared" si="14"/>
        <v>36778917.079999998</v>
      </c>
      <c r="G54" s="136">
        <f t="shared" si="14"/>
        <v>36778917.079999998</v>
      </c>
    </row>
    <row r="55" spans="1:7" x14ac:dyDescent="0.25">
      <c r="A55" s="46" t="s">
        <v>258</v>
      </c>
      <c r="B55" s="137">
        <v>0</v>
      </c>
      <c r="C55" s="137">
        <v>0</v>
      </c>
      <c r="D55" s="137">
        <v>0</v>
      </c>
      <c r="E55" s="137">
        <v>0</v>
      </c>
      <c r="F55" s="137">
        <v>0</v>
      </c>
      <c r="G55" s="137">
        <f t="shared" ref="G55:G58" si="15">F55-B55</f>
        <v>0</v>
      </c>
    </row>
    <row r="56" spans="1:7" x14ac:dyDescent="0.25">
      <c r="A56" s="65" t="s">
        <v>259</v>
      </c>
      <c r="B56" s="137">
        <v>0</v>
      </c>
      <c r="C56" s="137">
        <v>0</v>
      </c>
      <c r="D56" s="137">
        <v>0</v>
      </c>
      <c r="E56" s="137">
        <v>0</v>
      </c>
      <c r="F56" s="137">
        <v>0</v>
      </c>
      <c r="G56" s="137">
        <f t="shared" si="15"/>
        <v>0</v>
      </c>
    </row>
    <row r="57" spans="1:7" x14ac:dyDescent="0.25">
      <c r="A57" s="65" t="s">
        <v>260</v>
      </c>
      <c r="B57" s="137">
        <v>0</v>
      </c>
      <c r="C57" s="137">
        <v>0</v>
      </c>
      <c r="D57" s="137">
        <v>0</v>
      </c>
      <c r="E57" s="137">
        <v>0</v>
      </c>
      <c r="F57" s="137">
        <v>0</v>
      </c>
      <c r="G57" s="137">
        <f t="shared" si="15"/>
        <v>0</v>
      </c>
    </row>
    <row r="58" spans="1:7" x14ac:dyDescent="0.25">
      <c r="A58" s="46" t="s">
        <v>261</v>
      </c>
      <c r="B58" s="137">
        <v>0</v>
      </c>
      <c r="C58" s="137">
        <v>39935191.659999996</v>
      </c>
      <c r="D58" s="137">
        <v>39935191.659999996</v>
      </c>
      <c r="E58" s="137">
        <v>36778917.079999998</v>
      </c>
      <c r="F58" s="137">
        <v>36778917.079999998</v>
      </c>
      <c r="G58" s="137">
        <f t="shared" si="15"/>
        <v>36778917.079999998</v>
      </c>
    </row>
    <row r="59" spans="1:7" x14ac:dyDescent="0.25">
      <c r="A59" s="51" t="s">
        <v>262</v>
      </c>
      <c r="B59" s="136">
        <f>SUM(B60:B61)</f>
        <v>0</v>
      </c>
      <c r="C59" s="136">
        <f t="shared" ref="C59:G59" si="16">SUM(C60:C61)</f>
        <v>0</v>
      </c>
      <c r="D59" s="136">
        <f t="shared" si="16"/>
        <v>0</v>
      </c>
      <c r="E59" s="136">
        <f t="shared" si="16"/>
        <v>0</v>
      </c>
      <c r="F59" s="136">
        <f t="shared" si="16"/>
        <v>0</v>
      </c>
      <c r="G59" s="136">
        <f t="shared" si="16"/>
        <v>0</v>
      </c>
    </row>
    <row r="60" spans="1:7" x14ac:dyDescent="0.25">
      <c r="A60" s="65" t="s">
        <v>263</v>
      </c>
      <c r="B60" s="137">
        <v>0</v>
      </c>
      <c r="C60" s="137">
        <v>0</v>
      </c>
      <c r="D60" s="137">
        <v>0</v>
      </c>
      <c r="E60" s="137">
        <v>0</v>
      </c>
      <c r="F60" s="137">
        <v>0</v>
      </c>
      <c r="G60" s="137">
        <f t="shared" ref="G60:G61" si="17">F60-B60</f>
        <v>0</v>
      </c>
    </row>
    <row r="61" spans="1:7" x14ac:dyDescent="0.25">
      <c r="A61" s="65" t="s">
        <v>264</v>
      </c>
      <c r="B61" s="137">
        <v>0</v>
      </c>
      <c r="C61" s="137">
        <v>0</v>
      </c>
      <c r="D61" s="137">
        <v>0</v>
      </c>
      <c r="E61" s="137">
        <v>0</v>
      </c>
      <c r="F61" s="137">
        <v>0</v>
      </c>
      <c r="G61" s="137">
        <f t="shared" si="17"/>
        <v>0</v>
      </c>
    </row>
    <row r="62" spans="1:7" x14ac:dyDescent="0.25">
      <c r="A62" s="51" t="s">
        <v>265</v>
      </c>
      <c r="B62" s="136">
        <v>0</v>
      </c>
      <c r="C62" s="136">
        <v>0</v>
      </c>
      <c r="D62" s="136">
        <v>0</v>
      </c>
      <c r="E62" s="136">
        <v>0</v>
      </c>
      <c r="F62" s="136">
        <v>0</v>
      </c>
      <c r="G62" s="136">
        <v>0</v>
      </c>
    </row>
    <row r="63" spans="1:7" x14ac:dyDescent="0.25">
      <c r="A63" s="51" t="s">
        <v>266</v>
      </c>
      <c r="B63" s="136">
        <v>0</v>
      </c>
      <c r="C63" s="136">
        <v>0</v>
      </c>
      <c r="D63" s="136">
        <v>0</v>
      </c>
      <c r="E63" s="136">
        <v>0</v>
      </c>
      <c r="F63" s="136">
        <v>0</v>
      </c>
      <c r="G63" s="136">
        <v>0</v>
      </c>
    </row>
    <row r="64" spans="1:7" x14ac:dyDescent="0.25">
      <c r="A64" s="52"/>
      <c r="B64" s="52"/>
      <c r="C64" s="52"/>
      <c r="D64" s="52"/>
      <c r="E64" s="52"/>
      <c r="F64" s="52"/>
      <c r="G64" s="52"/>
    </row>
    <row r="65" spans="1:7" x14ac:dyDescent="0.25">
      <c r="A65" s="53" t="s">
        <v>267</v>
      </c>
      <c r="B65" s="136">
        <f>B45+B54+B59+B62+B63</f>
        <v>211659985</v>
      </c>
      <c r="C65" s="136">
        <f t="shared" ref="C65:G65" si="18">C45+C54+C59+C62+C63</f>
        <v>45677249.659999996</v>
      </c>
      <c r="D65" s="136">
        <f t="shared" si="18"/>
        <v>257337234.66</v>
      </c>
      <c r="E65" s="136">
        <f t="shared" si="18"/>
        <v>254180960.07999998</v>
      </c>
      <c r="F65" s="136">
        <f t="shared" si="18"/>
        <v>254180960.07999998</v>
      </c>
      <c r="G65" s="136">
        <f t="shared" si="18"/>
        <v>42520975.079999998</v>
      </c>
    </row>
    <row r="66" spans="1:7" x14ac:dyDescent="0.25">
      <c r="A66" s="52"/>
      <c r="B66" s="52"/>
      <c r="C66" s="52"/>
      <c r="D66" s="52"/>
      <c r="E66" s="52"/>
      <c r="F66" s="52"/>
      <c r="G66" s="52"/>
    </row>
    <row r="67" spans="1:7" x14ac:dyDescent="0.25">
      <c r="A67" s="53" t="s">
        <v>268</v>
      </c>
      <c r="B67" s="136">
        <f>B68</f>
        <v>0</v>
      </c>
      <c r="C67" s="136">
        <f t="shared" ref="C67:G67" si="19">C68</f>
        <v>64558201.520000003</v>
      </c>
      <c r="D67" s="136">
        <f t="shared" si="19"/>
        <v>64558201.520000003</v>
      </c>
      <c r="E67" s="136">
        <f t="shared" si="19"/>
        <v>61318861.219999999</v>
      </c>
      <c r="F67" s="136">
        <f t="shared" si="19"/>
        <v>61318861.219999999</v>
      </c>
      <c r="G67" s="136">
        <f t="shared" si="19"/>
        <v>61318861.219999999</v>
      </c>
    </row>
    <row r="68" spans="1:7" x14ac:dyDescent="0.25">
      <c r="A68" s="51" t="s">
        <v>269</v>
      </c>
      <c r="B68" s="137">
        <v>0</v>
      </c>
      <c r="C68" s="137">
        <v>64558201.520000003</v>
      </c>
      <c r="D68" s="137">
        <v>64558201.520000003</v>
      </c>
      <c r="E68" s="137">
        <v>61318861.219999999</v>
      </c>
      <c r="F68" s="137">
        <v>61318861.219999999</v>
      </c>
      <c r="G68" s="137">
        <f>F68-B68</f>
        <v>61318861.219999999</v>
      </c>
    </row>
    <row r="69" spans="1:7" x14ac:dyDescent="0.25">
      <c r="A69" s="52"/>
      <c r="B69" s="52"/>
      <c r="C69" s="52"/>
      <c r="D69" s="52"/>
      <c r="E69" s="52"/>
      <c r="F69" s="52"/>
      <c r="G69" s="52"/>
    </row>
    <row r="70" spans="1:7" x14ac:dyDescent="0.25">
      <c r="A70" s="53" t="s">
        <v>270</v>
      </c>
      <c r="B70" s="136">
        <f>B41+B65+B67</f>
        <v>594106494.12</v>
      </c>
      <c r="C70" s="136">
        <f t="shared" ref="C70:G70" si="20">C41+C65+C67</f>
        <v>186544322.31999999</v>
      </c>
      <c r="D70" s="136">
        <f t="shared" si="20"/>
        <v>780650816.43999994</v>
      </c>
      <c r="E70" s="136">
        <f t="shared" si="20"/>
        <v>726541381.74000001</v>
      </c>
      <c r="F70" s="136">
        <f t="shared" si="20"/>
        <v>726541381.74000001</v>
      </c>
      <c r="G70" s="136">
        <f t="shared" si="20"/>
        <v>132434887.62000002</v>
      </c>
    </row>
    <row r="71" spans="1:7" x14ac:dyDescent="0.25">
      <c r="A71" s="52"/>
      <c r="B71" s="52"/>
      <c r="C71" s="52"/>
      <c r="D71" s="52"/>
      <c r="E71" s="52"/>
      <c r="F71" s="52"/>
      <c r="G71" s="52"/>
    </row>
    <row r="72" spans="1:7" x14ac:dyDescent="0.25">
      <c r="A72" s="53" t="s">
        <v>271</v>
      </c>
      <c r="B72" s="52"/>
      <c r="C72" s="52"/>
      <c r="D72" s="52"/>
      <c r="E72" s="52"/>
      <c r="F72" s="52"/>
      <c r="G72" s="52"/>
    </row>
    <row r="73" spans="1:7" x14ac:dyDescent="0.25">
      <c r="A73" s="117" t="s">
        <v>272</v>
      </c>
      <c r="B73" s="137">
        <v>0</v>
      </c>
      <c r="C73" s="137">
        <v>34000000</v>
      </c>
      <c r="D73" s="137">
        <v>34000000</v>
      </c>
      <c r="E73" s="137">
        <v>34000000</v>
      </c>
      <c r="F73" s="137">
        <v>34000000</v>
      </c>
      <c r="G73" s="137">
        <f>F73-B73</f>
        <v>34000000</v>
      </c>
    </row>
    <row r="74" spans="1:7" ht="30" x14ac:dyDescent="0.25">
      <c r="A74" s="117" t="s">
        <v>273</v>
      </c>
      <c r="B74" s="137">
        <v>0</v>
      </c>
      <c r="C74" s="137">
        <v>30558201.52</v>
      </c>
      <c r="D74" s="137">
        <v>30558201.52</v>
      </c>
      <c r="E74" s="137">
        <v>27318861.219999999</v>
      </c>
      <c r="F74" s="137">
        <v>27318861.219999999</v>
      </c>
      <c r="G74" s="137">
        <f>F74-B74</f>
        <v>27318861.219999999</v>
      </c>
    </row>
    <row r="75" spans="1:7" x14ac:dyDescent="0.25">
      <c r="A75" s="109" t="s">
        <v>274</v>
      </c>
      <c r="B75" s="136">
        <f>B73+B74</f>
        <v>0</v>
      </c>
      <c r="C75" s="136">
        <f t="shared" ref="C75:G75" si="21">C73+C74</f>
        <v>64558201.519999996</v>
      </c>
      <c r="D75" s="136">
        <f t="shared" si="21"/>
        <v>64558201.519999996</v>
      </c>
      <c r="E75" s="136">
        <f t="shared" si="21"/>
        <v>61318861.219999999</v>
      </c>
      <c r="F75" s="136">
        <f t="shared" si="21"/>
        <v>61318861.219999999</v>
      </c>
      <c r="G75" s="136">
        <f t="shared" si="21"/>
        <v>61318861.219999999</v>
      </c>
    </row>
    <row r="76" spans="1:7" x14ac:dyDescent="0.25">
      <c r="A76" s="56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19685039370078741" right="0.15748031496062992" top="0.98425196850393704" bottom="0.27559055118110237" header="0.15748031496062992" footer="0.15748031496062992"/>
  <pageSetup scale="4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134407348</v>
      </c>
      <c r="Q3" s="18">
        <f>'Formato 5'!C9</f>
        <v>24647214.190000001</v>
      </c>
      <c r="R3" s="18">
        <f>'Formato 5'!D9</f>
        <v>159054562.19</v>
      </c>
      <c r="S3" s="18">
        <f>'Formato 5'!E9</f>
        <v>122853349.67</v>
      </c>
      <c r="T3" s="18">
        <f>'Formato 5'!F9</f>
        <v>122853349.67</v>
      </c>
      <c r="U3" s="18">
        <f>'Formato 5'!G9</f>
        <v>-11553998.329999998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36613</v>
      </c>
      <c r="Q5" s="18" t="str">
        <f>'Formato 5'!C11</f>
        <v xml:space="preserve">                                         -  </v>
      </c>
      <c r="R5" s="18">
        <f>'Formato 5'!D11</f>
        <v>36613</v>
      </c>
      <c r="S5" s="18">
        <f>'Formato 5'!E11</f>
        <v>20955.41</v>
      </c>
      <c r="T5" s="18">
        <f>'Formato 5'!F11</f>
        <v>20955.41</v>
      </c>
      <c r="U5" s="18">
        <f>'Formato 5'!G11</f>
        <v>-15657.59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24947117.699999999</v>
      </c>
      <c r="Q6" s="18">
        <f>'Formato 5'!C12</f>
        <v>265000</v>
      </c>
      <c r="R6" s="18">
        <f>'Formato 5'!D12</f>
        <v>25212117.699999999</v>
      </c>
      <c r="S6" s="18">
        <f>'Formato 5'!E12</f>
        <v>17101016.640000001</v>
      </c>
      <c r="T6" s="18">
        <f>'Formato 5'!F12</f>
        <v>17101016.640000001</v>
      </c>
      <c r="U6" s="18">
        <f>'Formato 5'!G12</f>
        <v>-7846101.0599999987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4637432.42</v>
      </c>
      <c r="Q7" s="18" t="str">
        <f>'Formato 5'!C13</f>
        <v xml:space="preserve">                                         -  </v>
      </c>
      <c r="R7" s="18">
        <f>'Formato 5'!D13</f>
        <v>4637432.42</v>
      </c>
      <c r="S7" s="18">
        <f>'Formato 5'!E13</f>
        <v>3735587.51</v>
      </c>
      <c r="T7" s="18">
        <f>'Formato 5'!F13</f>
        <v>3735587.51</v>
      </c>
      <c r="U7" s="18">
        <f>'Formato 5'!G13</f>
        <v>-901844.91000000015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6784310</v>
      </c>
      <c r="Q8" s="18" t="str">
        <f>'Formato 5'!C14</f>
        <v xml:space="preserve">                                         -  </v>
      </c>
      <c r="R8" s="18">
        <f>'Formato 5'!D14</f>
        <v>6784310</v>
      </c>
      <c r="S8" s="18">
        <f>'Formato 5'!E14</f>
        <v>5403984.7699999996</v>
      </c>
      <c r="T8" s="18">
        <f>'Formato 5'!F14</f>
        <v>5403984.7699999996</v>
      </c>
      <c r="U8" s="18">
        <f>'Formato 5'!G14</f>
        <v>-1380325.2300000004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207848721</v>
      </c>
      <c r="Q10" s="18">
        <f>'Formato 5'!C16</f>
        <v>45844495.040000007</v>
      </c>
      <c r="R10" s="18">
        <f>'Formato 5'!D16</f>
        <v>253693216.03999999</v>
      </c>
      <c r="S10" s="18">
        <f>'Formato 5'!E16</f>
        <v>255351350.04000002</v>
      </c>
      <c r="T10" s="18">
        <f>'Formato 5'!F16</f>
        <v>255351350.04000002</v>
      </c>
      <c r="U10" s="18">
        <f>'Formato 5'!G16</f>
        <v>47502629.040000014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143155540</v>
      </c>
      <c r="Q11" s="18">
        <f>'Formato 5'!C17</f>
        <v>16779772.059999999</v>
      </c>
      <c r="R11" s="18">
        <f>'Formato 5'!D17</f>
        <v>159935312.06</v>
      </c>
      <c r="S11" s="18">
        <f>'Formato 5'!E17</f>
        <v>156125369.58000001</v>
      </c>
      <c r="T11" s="18">
        <f>'Formato 5'!F17</f>
        <v>156125369.58000001</v>
      </c>
      <c r="U11" s="18">
        <f>'Formato 5'!G17</f>
        <v>12969829.580000013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23933422</v>
      </c>
      <c r="Q12" s="18">
        <f>'Formato 5'!C18</f>
        <v>18416694</v>
      </c>
      <c r="R12" s="18">
        <f>'Formato 5'!D18</f>
        <v>42350116</v>
      </c>
      <c r="S12" s="18">
        <f>'Formato 5'!E18</f>
        <v>48812431.43</v>
      </c>
      <c r="T12" s="18">
        <f>'Formato 5'!F18</f>
        <v>48812431.43</v>
      </c>
      <c r="U12" s="18">
        <f>'Formato 5'!G18</f>
        <v>24879009.43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10756887</v>
      </c>
      <c r="Q13" s="18">
        <f>'Formato 5'!C19</f>
        <v>1865767</v>
      </c>
      <c r="R13" s="18">
        <f>'Formato 5'!D19</f>
        <v>12622654</v>
      </c>
      <c r="S13" s="18">
        <f>'Formato 5'!E19</f>
        <v>12234005.939999999</v>
      </c>
      <c r="T13" s="18">
        <f>'Formato 5'!F19</f>
        <v>12234005.939999999</v>
      </c>
      <c r="U13" s="18">
        <f>'Formato 5'!G19</f>
        <v>1477118.9399999995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2621960</v>
      </c>
      <c r="Q16" s="18">
        <f>'Formato 5'!C22</f>
        <v>1551970</v>
      </c>
      <c r="R16" s="18">
        <f>'Formato 5'!D22</f>
        <v>4173930</v>
      </c>
      <c r="S16" s="18">
        <f>'Formato 5'!E22</f>
        <v>3226671.88</v>
      </c>
      <c r="T16" s="18">
        <f>'Formato 5'!F22</f>
        <v>3226671.88</v>
      </c>
      <c r="U16" s="18">
        <f>'Formato 5'!G22</f>
        <v>604711.87999999989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6174736</v>
      </c>
      <c r="Q19" s="18">
        <f>'Formato 5'!C25</f>
        <v>0</v>
      </c>
      <c r="R19" s="18">
        <f>'Formato 5'!D25</f>
        <v>6174736</v>
      </c>
      <c r="S19" s="18">
        <f>'Formato 5'!E25</f>
        <v>4163804.21</v>
      </c>
      <c r="T19" s="18">
        <f>'Formato 5'!F25</f>
        <v>4163804.21</v>
      </c>
      <c r="U19" s="18">
        <f>'Formato 5'!G25</f>
        <v>-2010931.79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21206176</v>
      </c>
      <c r="Q20" s="18">
        <f>'Formato 5'!C26</f>
        <v>7230291.9800000004</v>
      </c>
      <c r="R20" s="18">
        <f>'Formato 5'!D26</f>
        <v>28436467.98</v>
      </c>
      <c r="S20" s="18">
        <f>'Formato 5'!E26</f>
        <v>30789067</v>
      </c>
      <c r="T20" s="18">
        <f>'Formato 5'!F26</f>
        <v>30789067</v>
      </c>
      <c r="U20" s="18">
        <f>'Formato 5'!G26</f>
        <v>9582891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3784967</v>
      </c>
      <c r="Q22" s="18">
        <f>'Formato 5'!C28</f>
        <v>2199400</v>
      </c>
      <c r="R22" s="18">
        <f>'Formato 5'!D28</f>
        <v>5984367</v>
      </c>
      <c r="S22" s="18">
        <f>'Formato 5'!E28</f>
        <v>4030159.19</v>
      </c>
      <c r="T22" s="18">
        <f>'Formato 5'!F28</f>
        <v>4030159.19</v>
      </c>
      <c r="U22" s="18">
        <f>'Formato 5'!G28</f>
        <v>245192.18999999994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13121</v>
      </c>
      <c r="Q23" s="18">
        <f>'Formato 5'!C29</f>
        <v>0</v>
      </c>
      <c r="R23" s="18">
        <f>'Formato 5'!D29</f>
        <v>13121</v>
      </c>
      <c r="S23" s="18">
        <f>'Formato 5'!E29</f>
        <v>23697.09</v>
      </c>
      <c r="T23" s="18">
        <f>'Formato 5'!F29</f>
        <v>23697.09</v>
      </c>
      <c r="U23" s="18">
        <f>'Formato 5'!G29</f>
        <v>10576.09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463313</v>
      </c>
      <c r="Q24" s="18">
        <f>'Formato 5'!C30</f>
        <v>0</v>
      </c>
      <c r="R24" s="18">
        <f>'Formato 5'!D30</f>
        <v>463313</v>
      </c>
      <c r="S24" s="18">
        <f>'Formato 5'!E30</f>
        <v>520535.12</v>
      </c>
      <c r="T24" s="18">
        <f>'Formato 5'!F30</f>
        <v>520535.12</v>
      </c>
      <c r="U24" s="18">
        <f>'Formato 5'!G30</f>
        <v>57222.119999999995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2504453</v>
      </c>
      <c r="Q25" s="18">
        <f>'Formato 5'!C31</f>
        <v>-329000</v>
      </c>
      <c r="R25" s="18">
        <f>'Formato 5'!D31</f>
        <v>2175453</v>
      </c>
      <c r="S25" s="18">
        <f>'Formato 5'!E31</f>
        <v>1843690.58</v>
      </c>
      <c r="T25" s="18">
        <f>'Formato 5'!F31</f>
        <v>1843690.58</v>
      </c>
      <c r="U25" s="18">
        <f>'Formato 5'!G31</f>
        <v>-660762.41999999993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804080</v>
      </c>
      <c r="Q27" s="18">
        <f>'Formato 5'!C33</f>
        <v>2528400</v>
      </c>
      <c r="R27" s="18">
        <f>'Formato 5'!D33</f>
        <v>3332480</v>
      </c>
      <c r="S27" s="18">
        <f>'Formato 5'!E33</f>
        <v>1642236.4</v>
      </c>
      <c r="T27" s="18">
        <f>'Formato 5'!F33</f>
        <v>1642236.4</v>
      </c>
      <c r="U27" s="18">
        <f>'Formato 5'!G33</f>
        <v>838156.39999999991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3352761.91</v>
      </c>
      <c r="R29" s="18">
        <f>'Formato 5'!D35</f>
        <v>3352761.91</v>
      </c>
      <c r="S29" s="18">
        <f>'Formato 5'!E35</f>
        <v>2545157.21</v>
      </c>
      <c r="T29" s="18">
        <f>'Formato 5'!F35</f>
        <v>2545157.21</v>
      </c>
      <c r="U29" s="18">
        <f>'Formato 5'!G35</f>
        <v>2545157.21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3352761.91</v>
      </c>
      <c r="R30" s="18">
        <f>'Formato 5'!D36</f>
        <v>3352761.91</v>
      </c>
      <c r="S30" s="18">
        <f>'Formato 5'!E36</f>
        <v>2545157.21</v>
      </c>
      <c r="T30" s="18">
        <f>'Formato 5'!F36</f>
        <v>2545157.21</v>
      </c>
      <c r="U30" s="18">
        <f>'Formato 5'!G36</f>
        <v>2545157.21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382446509.12</v>
      </c>
      <c r="Q34">
        <f>'Formato 5'!C41</f>
        <v>76308871.140000001</v>
      </c>
      <c r="R34">
        <f>'Formato 5'!D41</f>
        <v>458755380.25999999</v>
      </c>
      <c r="S34">
        <f>'Formato 5'!E41</f>
        <v>411041560.44</v>
      </c>
      <c r="T34">
        <f>'Formato 5'!F41</f>
        <v>411041560.44</v>
      </c>
      <c r="U34">
        <f>'Formato 5'!G41</f>
        <v>28595051.320000019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28595051.320000019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211659985</v>
      </c>
      <c r="Q37">
        <f>'Formato 5'!C45</f>
        <v>5742058</v>
      </c>
      <c r="R37">
        <f>'Formato 5'!D45</f>
        <v>217402043</v>
      </c>
      <c r="S37">
        <f>'Formato 5'!E45</f>
        <v>217402043</v>
      </c>
      <c r="T37">
        <f>'Formato 5'!F45</f>
        <v>217402043</v>
      </c>
      <c r="U37">
        <f>'Formato 5'!G45</f>
        <v>5742058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83371662</v>
      </c>
      <c r="Q40">
        <f>'Formato 5'!C48</f>
        <v>2078042</v>
      </c>
      <c r="R40">
        <f>'Formato 5'!D48</f>
        <v>85449704</v>
      </c>
      <c r="S40">
        <f>'Formato 5'!E48</f>
        <v>85449704</v>
      </c>
      <c r="T40">
        <f>'Formato 5'!F48</f>
        <v>85449704</v>
      </c>
      <c r="U40">
        <f>'Formato 5'!G48</f>
        <v>2078042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128288323</v>
      </c>
      <c r="Q41">
        <f>'Formato 5'!C49</f>
        <v>3664016</v>
      </c>
      <c r="R41">
        <f>'Formato 5'!D49</f>
        <v>131952339</v>
      </c>
      <c r="S41">
        <f>'Formato 5'!E49</f>
        <v>131952339</v>
      </c>
      <c r="T41">
        <f>'Formato 5'!F49</f>
        <v>131952339</v>
      </c>
      <c r="U41">
        <f>'Formato 5'!G49</f>
        <v>3664016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39935191.659999996</v>
      </c>
      <c r="R46">
        <f>'Formato 5'!D54</f>
        <v>39935191.659999996</v>
      </c>
      <c r="S46">
        <f>'Formato 5'!E54</f>
        <v>36778917.079999998</v>
      </c>
      <c r="T46">
        <f>'Formato 5'!F54</f>
        <v>36778917.079999998</v>
      </c>
      <c r="U46">
        <f>'Formato 5'!G54</f>
        <v>36778917.079999998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39935191.659999996</v>
      </c>
      <c r="R50">
        <f>'Formato 5'!D58</f>
        <v>39935191.659999996</v>
      </c>
      <c r="S50">
        <f>'Formato 5'!E58</f>
        <v>36778917.079999998</v>
      </c>
      <c r="T50">
        <f>'Formato 5'!F58</f>
        <v>36778917.079999998</v>
      </c>
      <c r="U50">
        <f>'Formato 5'!G58</f>
        <v>36778917.079999998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211659985</v>
      </c>
      <c r="Q56">
        <f>'Formato 5'!C65</f>
        <v>45677249.659999996</v>
      </c>
      <c r="R56">
        <f>'Formato 5'!D65</f>
        <v>257337234.66</v>
      </c>
      <c r="S56">
        <f>'Formato 5'!E65</f>
        <v>254180960.07999998</v>
      </c>
      <c r="T56">
        <f>'Formato 5'!F65</f>
        <v>254180960.07999998</v>
      </c>
      <c r="U56">
        <f>'Formato 5'!G65</f>
        <v>42520975.079999998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64558201.520000003</v>
      </c>
      <c r="R57">
        <f>'Formato 5'!D67</f>
        <v>64558201.520000003</v>
      </c>
      <c r="S57">
        <f>'Formato 5'!E67</f>
        <v>61318861.219999999</v>
      </c>
      <c r="T57">
        <f>'Formato 5'!F67</f>
        <v>61318861.219999999</v>
      </c>
      <c r="U57">
        <f>'Formato 5'!G67</f>
        <v>61318861.219999999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64558201.520000003</v>
      </c>
      <c r="R58">
        <f>'Formato 5'!D68</f>
        <v>64558201.520000003</v>
      </c>
      <c r="S58">
        <f>'Formato 5'!E68</f>
        <v>61318861.219999999</v>
      </c>
      <c r="T58">
        <f>'Formato 5'!F68</f>
        <v>61318861.219999999</v>
      </c>
      <c r="U58">
        <f>'Formato 5'!G68</f>
        <v>61318861.219999999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34000000</v>
      </c>
      <c r="R60">
        <f>'Formato 5'!D73</f>
        <v>34000000</v>
      </c>
      <c r="S60">
        <f>'Formato 5'!E73</f>
        <v>34000000</v>
      </c>
      <c r="T60">
        <f>'Formato 5'!F73</f>
        <v>34000000</v>
      </c>
      <c r="U60">
        <f>'Formato 5'!G73</f>
        <v>34000000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30558201.52</v>
      </c>
      <c r="R61">
        <f>'Formato 5'!D74</f>
        <v>30558201.52</v>
      </c>
      <c r="S61">
        <f>'Formato 5'!E74</f>
        <v>27318861.219999999</v>
      </c>
      <c r="T61">
        <f>'Formato 5'!F74</f>
        <v>27318861.219999999</v>
      </c>
      <c r="U61">
        <f>'Formato 5'!G74</f>
        <v>27318861.219999999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64558201.519999996</v>
      </c>
      <c r="R62">
        <f>'Formato 5'!D75</f>
        <v>64558201.519999996</v>
      </c>
      <c r="S62">
        <f>'Formato 5'!E75</f>
        <v>61318861.219999999</v>
      </c>
      <c r="T62">
        <f>'Formato 5'!F75</f>
        <v>61318861.219999999</v>
      </c>
      <c r="U62">
        <f>'Formato 5'!G75</f>
        <v>61318861.219999999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80" zoomScaleNormal="80" zoomScalePageLayoutView="90" workbookViewId="0">
      <selection activeCell="C116" sqref="C116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63" t="s">
        <v>3277</v>
      </c>
      <c r="B1" s="162"/>
      <c r="C1" s="162"/>
      <c r="D1" s="162"/>
      <c r="E1" s="162"/>
      <c r="F1" s="162"/>
      <c r="G1" s="162"/>
    </row>
    <row r="2" spans="1:7" x14ac:dyDescent="0.25">
      <c r="A2" s="166" t="str">
        <f>ENTE_PUBLICO_A</f>
        <v>MUNICIPIO DE SILAO DE LA VICTORIA, Gobierno del Estado de Guanajuato (a)</v>
      </c>
      <c r="B2" s="166"/>
      <c r="C2" s="166"/>
      <c r="D2" s="166"/>
      <c r="E2" s="166"/>
      <c r="F2" s="166"/>
      <c r="G2" s="166"/>
    </row>
    <row r="3" spans="1:7" x14ac:dyDescent="0.25">
      <c r="A3" s="167" t="s">
        <v>277</v>
      </c>
      <c r="B3" s="167"/>
      <c r="C3" s="167"/>
      <c r="D3" s="167"/>
      <c r="E3" s="167"/>
      <c r="F3" s="167"/>
      <c r="G3" s="167"/>
    </row>
    <row r="4" spans="1:7" x14ac:dyDescent="0.25">
      <c r="A4" s="167" t="s">
        <v>278</v>
      </c>
      <c r="B4" s="167"/>
      <c r="C4" s="167"/>
      <c r="D4" s="167"/>
      <c r="E4" s="167"/>
      <c r="F4" s="167"/>
      <c r="G4" s="167"/>
    </row>
    <row r="5" spans="1:7" x14ac:dyDescent="0.25">
      <c r="A5" s="168" t="str">
        <f>TRIMESTRE</f>
        <v>Del 1 de enero al 31 de diciembre de 2020 (b)</v>
      </c>
      <c r="B5" s="168"/>
      <c r="C5" s="168"/>
      <c r="D5" s="168"/>
      <c r="E5" s="168"/>
      <c r="F5" s="168"/>
      <c r="G5" s="168"/>
    </row>
    <row r="6" spans="1:7" x14ac:dyDescent="0.25">
      <c r="A6" s="160" t="s">
        <v>118</v>
      </c>
      <c r="B6" s="160"/>
      <c r="C6" s="160"/>
      <c r="D6" s="160"/>
      <c r="E6" s="160"/>
      <c r="F6" s="160"/>
      <c r="G6" s="160"/>
    </row>
    <row r="7" spans="1:7" ht="15" customHeight="1" x14ac:dyDescent="0.25">
      <c r="A7" s="164" t="s">
        <v>0</v>
      </c>
      <c r="B7" s="164" t="s">
        <v>279</v>
      </c>
      <c r="C7" s="164"/>
      <c r="D7" s="164"/>
      <c r="E7" s="164"/>
      <c r="F7" s="164"/>
      <c r="G7" s="165" t="s">
        <v>280</v>
      </c>
    </row>
    <row r="8" spans="1:7" ht="30" x14ac:dyDescent="0.25">
      <c r="A8" s="164"/>
      <c r="B8" s="43" t="s">
        <v>281</v>
      </c>
      <c r="C8" s="43" t="s">
        <v>282</v>
      </c>
      <c r="D8" s="43" t="s">
        <v>283</v>
      </c>
      <c r="E8" s="43" t="s">
        <v>167</v>
      </c>
      <c r="F8" s="43" t="s">
        <v>284</v>
      </c>
      <c r="G8" s="164"/>
    </row>
    <row r="9" spans="1:7" x14ac:dyDescent="0.25">
      <c r="A9" s="72" t="s">
        <v>285</v>
      </c>
      <c r="B9" s="136">
        <f>SUM(B10,B18,B28,B38,B48,B58,B62,B71,B75)</f>
        <v>382446509.11999995</v>
      </c>
      <c r="C9" s="136">
        <f t="shared" ref="C9:G9" si="0">SUM(C10,C18,C28,C38,C48,C58,C62,C71,C75)</f>
        <v>110308871.13999999</v>
      </c>
      <c r="D9" s="136">
        <f t="shared" si="0"/>
        <v>492755380.25999993</v>
      </c>
      <c r="E9" s="136">
        <f t="shared" si="0"/>
        <v>488685000.51999992</v>
      </c>
      <c r="F9" s="136">
        <f t="shared" si="0"/>
        <v>423906269.68000001</v>
      </c>
      <c r="G9" s="136">
        <f t="shared" si="0"/>
        <v>4070379.7399999984</v>
      </c>
    </row>
    <row r="10" spans="1:7" x14ac:dyDescent="0.25">
      <c r="A10" s="73" t="s">
        <v>286</v>
      </c>
      <c r="B10" s="136">
        <f>SUM(B11:B17)</f>
        <v>150050373.59999996</v>
      </c>
      <c r="C10" s="136">
        <f t="shared" ref="C10:F10" si="1">SUM(C11:C17)</f>
        <v>49658729.029999994</v>
      </c>
      <c r="D10" s="136">
        <f t="shared" si="1"/>
        <v>199709102.63</v>
      </c>
      <c r="E10" s="136">
        <f t="shared" si="1"/>
        <v>199709102.63</v>
      </c>
      <c r="F10" s="136">
        <f t="shared" si="1"/>
        <v>190902787.39000002</v>
      </c>
      <c r="G10" s="136">
        <f>SUM(G11:G17)</f>
        <v>0</v>
      </c>
    </row>
    <row r="11" spans="1:7" x14ac:dyDescent="0.25">
      <c r="A11" s="74" t="s">
        <v>287</v>
      </c>
      <c r="B11" s="137">
        <v>70335287.849999994</v>
      </c>
      <c r="C11" s="137">
        <v>-12392672.199999999</v>
      </c>
      <c r="D11" s="137">
        <v>57942615.649999999</v>
      </c>
      <c r="E11" s="137">
        <v>57942615.649999999</v>
      </c>
      <c r="F11" s="137">
        <v>57942615.649999999</v>
      </c>
      <c r="G11" s="137">
        <f>D11-E11</f>
        <v>0</v>
      </c>
    </row>
    <row r="12" spans="1:7" x14ac:dyDescent="0.25">
      <c r="A12" s="74" t="s">
        <v>288</v>
      </c>
      <c r="B12" s="137">
        <v>22483175.949999999</v>
      </c>
      <c r="C12" s="137">
        <v>69169166.269999996</v>
      </c>
      <c r="D12" s="137">
        <v>91652342.219999999</v>
      </c>
      <c r="E12" s="137">
        <v>91652342.219999999</v>
      </c>
      <c r="F12" s="137">
        <v>91652342.219999999</v>
      </c>
      <c r="G12" s="137">
        <f>D12-E12</f>
        <v>0</v>
      </c>
    </row>
    <row r="13" spans="1:7" ht="14.25" customHeight="1" x14ac:dyDescent="0.25">
      <c r="A13" s="74" t="s">
        <v>289</v>
      </c>
      <c r="B13" s="137">
        <v>20550879.399999999</v>
      </c>
      <c r="C13" s="137">
        <v>-984903.05</v>
      </c>
      <c r="D13" s="137">
        <v>19565976.350000001</v>
      </c>
      <c r="E13" s="137">
        <v>19565976.350000001</v>
      </c>
      <c r="F13" s="137">
        <v>10759661.109999999</v>
      </c>
      <c r="G13" s="137">
        <f t="shared" ref="G13:G17" si="2">D13-E13</f>
        <v>0</v>
      </c>
    </row>
    <row r="14" spans="1:7" ht="14.25" customHeight="1" x14ac:dyDescent="0.25">
      <c r="A14" s="74" t="s">
        <v>290</v>
      </c>
      <c r="B14" s="137">
        <v>1015940.24</v>
      </c>
      <c r="C14" s="137">
        <v>-22762.560000000001</v>
      </c>
      <c r="D14" s="137">
        <v>993177.68</v>
      </c>
      <c r="E14" s="137">
        <v>993177.68</v>
      </c>
      <c r="F14" s="137">
        <v>993177.68</v>
      </c>
      <c r="G14" s="137">
        <f t="shared" si="2"/>
        <v>0</v>
      </c>
    </row>
    <row r="15" spans="1:7" x14ac:dyDescent="0.25">
      <c r="A15" s="74" t="s">
        <v>291</v>
      </c>
      <c r="B15" s="137">
        <v>35665090.159999996</v>
      </c>
      <c r="C15" s="137">
        <v>-6110099.4299999997</v>
      </c>
      <c r="D15" s="137">
        <v>29554990.73</v>
      </c>
      <c r="E15" s="137">
        <v>29554990.73</v>
      </c>
      <c r="F15" s="137">
        <v>29554990.73</v>
      </c>
      <c r="G15" s="137">
        <f t="shared" si="2"/>
        <v>0</v>
      </c>
    </row>
    <row r="16" spans="1:7" x14ac:dyDescent="0.25">
      <c r="A16" s="74" t="s">
        <v>292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f t="shared" si="2"/>
        <v>0</v>
      </c>
    </row>
    <row r="17" spans="1:7" x14ac:dyDescent="0.25">
      <c r="A17" s="74" t="s">
        <v>293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f t="shared" si="2"/>
        <v>0</v>
      </c>
    </row>
    <row r="18" spans="1:7" x14ac:dyDescent="0.25">
      <c r="A18" s="73" t="s">
        <v>294</v>
      </c>
      <c r="B18" s="136">
        <f>SUM(B19:B27)</f>
        <v>39220511</v>
      </c>
      <c r="C18" s="136">
        <f t="shared" ref="C18:F18" si="3">SUM(C19:C27)</f>
        <v>6370747.6099999994</v>
      </c>
      <c r="D18" s="136">
        <f t="shared" si="3"/>
        <v>45591258.609999999</v>
      </c>
      <c r="E18" s="136">
        <f t="shared" si="3"/>
        <v>44002942.949999996</v>
      </c>
      <c r="F18" s="136">
        <f t="shared" si="3"/>
        <v>38710533.590000004</v>
      </c>
      <c r="G18" s="136">
        <f>SUM(G19:G27)</f>
        <v>1588315.6600000011</v>
      </c>
    </row>
    <row r="19" spans="1:7" x14ac:dyDescent="0.25">
      <c r="A19" s="74" t="s">
        <v>295</v>
      </c>
      <c r="B19" s="137">
        <v>6130861</v>
      </c>
      <c r="C19" s="137">
        <v>118811.75</v>
      </c>
      <c r="D19" s="137">
        <v>6249672.75</v>
      </c>
      <c r="E19" s="137">
        <v>5417799.04</v>
      </c>
      <c r="F19" s="137">
        <v>4091314.4</v>
      </c>
      <c r="G19" s="137">
        <f>D19-E19</f>
        <v>831873.71</v>
      </c>
    </row>
    <row r="20" spans="1:7" ht="14.25" customHeight="1" x14ac:dyDescent="0.25">
      <c r="A20" s="74" t="s">
        <v>296</v>
      </c>
      <c r="B20" s="137">
        <v>2141750</v>
      </c>
      <c r="C20" s="137">
        <v>296791.67</v>
      </c>
      <c r="D20" s="137">
        <v>2438541.67</v>
      </c>
      <c r="E20" s="137">
        <v>2176202.9900000002</v>
      </c>
      <c r="F20" s="137">
        <v>2052504.59</v>
      </c>
      <c r="G20" s="137">
        <f t="shared" ref="G20:G27" si="4">D20-E20</f>
        <v>262338.6799999997</v>
      </c>
    </row>
    <row r="21" spans="1:7" x14ac:dyDescent="0.25">
      <c r="A21" s="74" t="s">
        <v>297</v>
      </c>
      <c r="B21" s="137">
        <v>80000</v>
      </c>
      <c r="C21" s="137">
        <v>50000</v>
      </c>
      <c r="D21" s="137">
        <v>130000</v>
      </c>
      <c r="E21" s="137">
        <v>125967.71</v>
      </c>
      <c r="F21" s="137">
        <v>125967.71</v>
      </c>
      <c r="G21" s="137">
        <f t="shared" si="4"/>
        <v>4032.2899999999936</v>
      </c>
    </row>
    <row r="22" spans="1:7" x14ac:dyDescent="0.25">
      <c r="A22" s="74" t="s">
        <v>298</v>
      </c>
      <c r="B22" s="137">
        <v>3896200</v>
      </c>
      <c r="C22" s="137">
        <v>244185.3</v>
      </c>
      <c r="D22" s="137">
        <v>4140385.3</v>
      </c>
      <c r="E22" s="137">
        <v>3999488.86</v>
      </c>
      <c r="F22" s="137">
        <v>3603510.17</v>
      </c>
      <c r="G22" s="137">
        <f t="shared" si="4"/>
        <v>140896.43999999994</v>
      </c>
    </row>
    <row r="23" spans="1:7" x14ac:dyDescent="0.25">
      <c r="A23" s="74" t="s">
        <v>299</v>
      </c>
      <c r="B23" s="137">
        <v>17175500</v>
      </c>
      <c r="C23" s="137">
        <v>4648775.21</v>
      </c>
      <c r="D23" s="137">
        <v>21824275.210000001</v>
      </c>
      <c r="E23" s="137">
        <v>21773778.489999998</v>
      </c>
      <c r="F23" s="137">
        <v>19177414.890000001</v>
      </c>
      <c r="G23" s="137">
        <f t="shared" si="4"/>
        <v>50496.720000002533</v>
      </c>
    </row>
    <row r="24" spans="1:7" x14ac:dyDescent="0.25">
      <c r="A24" s="74" t="s">
        <v>300</v>
      </c>
      <c r="B24" s="137">
        <v>6870600</v>
      </c>
      <c r="C24" s="137">
        <v>1641747.54</v>
      </c>
      <c r="D24" s="137">
        <v>8512347.5399999991</v>
      </c>
      <c r="E24" s="137">
        <v>8436186.4900000002</v>
      </c>
      <c r="F24" s="137">
        <v>8225986.0199999996</v>
      </c>
      <c r="G24" s="137">
        <f t="shared" si="4"/>
        <v>76161.049999998882</v>
      </c>
    </row>
    <row r="25" spans="1:7" x14ac:dyDescent="0.25">
      <c r="A25" s="74" t="s">
        <v>301</v>
      </c>
      <c r="B25" s="137">
        <v>2150600</v>
      </c>
      <c r="C25" s="137">
        <v>-568382.28</v>
      </c>
      <c r="D25" s="137">
        <v>1582217.72</v>
      </c>
      <c r="E25" s="137">
        <v>1438885.89</v>
      </c>
      <c r="F25" s="137">
        <v>1015906.74</v>
      </c>
      <c r="G25" s="137">
        <f t="shared" si="4"/>
        <v>143331.83000000007</v>
      </c>
    </row>
    <row r="26" spans="1:7" x14ac:dyDescent="0.25">
      <c r="A26" s="74" t="s">
        <v>302</v>
      </c>
      <c r="B26" s="137">
        <v>60000</v>
      </c>
      <c r="C26" s="137">
        <v>147852</v>
      </c>
      <c r="D26" s="137">
        <v>207852</v>
      </c>
      <c r="E26" s="137">
        <v>197852</v>
      </c>
      <c r="F26" s="137">
        <v>46052</v>
      </c>
      <c r="G26" s="137">
        <f t="shared" si="4"/>
        <v>10000</v>
      </c>
    </row>
    <row r="27" spans="1:7" x14ac:dyDescent="0.25">
      <c r="A27" s="74" t="s">
        <v>303</v>
      </c>
      <c r="B27" s="137">
        <v>715000</v>
      </c>
      <c r="C27" s="137">
        <v>-209033.58</v>
      </c>
      <c r="D27" s="137">
        <v>505966.42</v>
      </c>
      <c r="E27" s="137">
        <v>436781.48</v>
      </c>
      <c r="F27" s="137">
        <v>371877.07</v>
      </c>
      <c r="G27" s="137">
        <f t="shared" si="4"/>
        <v>69184.94</v>
      </c>
    </row>
    <row r="28" spans="1:7" x14ac:dyDescent="0.25">
      <c r="A28" s="73" t="s">
        <v>304</v>
      </c>
      <c r="B28" s="136">
        <f>SUM(B29:B37)</f>
        <v>109194597.07000001</v>
      </c>
      <c r="C28" s="136">
        <f t="shared" ref="C28:G28" si="5">SUM(C29:C37)</f>
        <v>44707757.639999993</v>
      </c>
      <c r="D28" s="136">
        <f t="shared" si="5"/>
        <v>153902354.70999998</v>
      </c>
      <c r="E28" s="136">
        <f t="shared" si="5"/>
        <v>152617694.25</v>
      </c>
      <c r="F28" s="136">
        <f t="shared" si="5"/>
        <v>107627783.72999999</v>
      </c>
      <c r="G28" s="136">
        <f t="shared" si="5"/>
        <v>1284660.4599999972</v>
      </c>
    </row>
    <row r="29" spans="1:7" x14ac:dyDescent="0.25">
      <c r="A29" s="74" t="s">
        <v>305</v>
      </c>
      <c r="B29" s="137">
        <v>10424200</v>
      </c>
      <c r="C29" s="137">
        <v>13284082.300000001</v>
      </c>
      <c r="D29" s="137">
        <v>23708282.300000001</v>
      </c>
      <c r="E29" s="137">
        <v>23312251.300000001</v>
      </c>
      <c r="F29" s="137">
        <v>20767249.879999999</v>
      </c>
      <c r="G29" s="137">
        <f>D29-E29</f>
        <v>396031</v>
      </c>
    </row>
    <row r="30" spans="1:7" x14ac:dyDescent="0.25">
      <c r="A30" s="74" t="s">
        <v>306</v>
      </c>
      <c r="B30" s="137">
        <v>10841062.4</v>
      </c>
      <c r="C30" s="137">
        <v>1622835.75</v>
      </c>
      <c r="D30" s="137">
        <v>12463898.15</v>
      </c>
      <c r="E30" s="137">
        <v>12386762.029999999</v>
      </c>
      <c r="F30" s="137">
        <v>9168935.3100000005</v>
      </c>
      <c r="G30" s="137">
        <f t="shared" ref="G30:G37" si="6">D30-E30</f>
        <v>77136.120000001043</v>
      </c>
    </row>
    <row r="31" spans="1:7" x14ac:dyDescent="0.25">
      <c r="A31" s="74" t="s">
        <v>307</v>
      </c>
      <c r="B31" s="137">
        <v>10648000</v>
      </c>
      <c r="C31" s="137">
        <v>1459345.78</v>
      </c>
      <c r="D31" s="137">
        <v>12107345.779999999</v>
      </c>
      <c r="E31" s="137">
        <v>12073087.02</v>
      </c>
      <c r="F31" s="137">
        <v>7993552.6799999997</v>
      </c>
      <c r="G31" s="137">
        <f t="shared" si="6"/>
        <v>34258.759999999776</v>
      </c>
    </row>
    <row r="32" spans="1:7" x14ac:dyDescent="0.25">
      <c r="A32" s="74" t="s">
        <v>308</v>
      </c>
      <c r="B32" s="137">
        <v>2680000</v>
      </c>
      <c r="C32" s="137">
        <v>-595001.69999999995</v>
      </c>
      <c r="D32" s="137">
        <v>2084998.3</v>
      </c>
      <c r="E32" s="137">
        <v>2075144.67</v>
      </c>
      <c r="F32" s="137">
        <v>2046144.67</v>
      </c>
      <c r="G32" s="137">
        <f t="shared" si="6"/>
        <v>9853.6300000001211</v>
      </c>
    </row>
    <row r="33" spans="1:7" x14ac:dyDescent="0.25">
      <c r="A33" s="74" t="s">
        <v>309</v>
      </c>
      <c r="B33" s="137">
        <v>26244000</v>
      </c>
      <c r="C33" s="137">
        <v>24221885.02</v>
      </c>
      <c r="D33" s="137">
        <v>50465885.020000003</v>
      </c>
      <c r="E33" s="137">
        <v>50318265.780000001</v>
      </c>
      <c r="F33" s="137">
        <v>37940897.049999997</v>
      </c>
      <c r="G33" s="137">
        <f t="shared" si="6"/>
        <v>147619.24000000209</v>
      </c>
    </row>
    <row r="34" spans="1:7" x14ac:dyDescent="0.25">
      <c r="A34" s="74" t="s">
        <v>310</v>
      </c>
      <c r="B34" s="137">
        <v>6610000</v>
      </c>
      <c r="C34" s="137">
        <v>-93220.09</v>
      </c>
      <c r="D34" s="137">
        <v>6516779.9100000001</v>
      </c>
      <c r="E34" s="137">
        <v>6516779.9100000001</v>
      </c>
      <c r="F34" s="137">
        <v>3753752.01</v>
      </c>
      <c r="G34" s="137">
        <f t="shared" si="6"/>
        <v>0</v>
      </c>
    </row>
    <row r="35" spans="1:7" x14ac:dyDescent="0.25">
      <c r="A35" s="74" t="s">
        <v>311</v>
      </c>
      <c r="B35" s="137">
        <v>1110200</v>
      </c>
      <c r="C35" s="137">
        <v>-745174.43</v>
      </c>
      <c r="D35" s="137">
        <v>365025.57</v>
      </c>
      <c r="E35" s="137">
        <v>191110.85</v>
      </c>
      <c r="F35" s="137">
        <v>191110.85</v>
      </c>
      <c r="G35" s="137">
        <f t="shared" si="6"/>
        <v>173914.72</v>
      </c>
    </row>
    <row r="36" spans="1:7" x14ac:dyDescent="0.25">
      <c r="A36" s="74" t="s">
        <v>312</v>
      </c>
      <c r="B36" s="137">
        <v>12151000</v>
      </c>
      <c r="C36" s="137">
        <v>-7955457.8700000001</v>
      </c>
      <c r="D36" s="137">
        <v>4195542.13</v>
      </c>
      <c r="E36" s="137">
        <v>4041651.56</v>
      </c>
      <c r="F36" s="137">
        <v>3237105.1</v>
      </c>
      <c r="G36" s="137">
        <f t="shared" si="6"/>
        <v>153890.56999999983</v>
      </c>
    </row>
    <row r="37" spans="1:7" x14ac:dyDescent="0.25">
      <c r="A37" s="74" t="s">
        <v>313</v>
      </c>
      <c r="B37" s="137">
        <v>28486134.670000002</v>
      </c>
      <c r="C37" s="137">
        <v>13508462.880000001</v>
      </c>
      <c r="D37" s="137">
        <v>41994597.549999997</v>
      </c>
      <c r="E37" s="137">
        <v>41702641.130000003</v>
      </c>
      <c r="F37" s="137">
        <v>22529036.18</v>
      </c>
      <c r="G37" s="137">
        <f t="shared" si="6"/>
        <v>291956.41999999434</v>
      </c>
    </row>
    <row r="38" spans="1:7" x14ac:dyDescent="0.25">
      <c r="A38" s="73" t="s">
        <v>314</v>
      </c>
      <c r="B38" s="136">
        <f>SUM(B39:B47)</f>
        <v>43573527.449999996</v>
      </c>
      <c r="C38" s="136">
        <f t="shared" ref="C38:G38" si="7">SUM(C39:C47)</f>
        <v>10411585.400000002</v>
      </c>
      <c r="D38" s="136">
        <f t="shared" si="7"/>
        <v>53985112.849999994</v>
      </c>
      <c r="E38" s="136">
        <f t="shared" si="7"/>
        <v>52979416.849999994</v>
      </c>
      <c r="F38" s="136">
        <f t="shared" si="7"/>
        <v>51379800.790000007</v>
      </c>
      <c r="G38" s="136">
        <f t="shared" si="7"/>
        <v>1005696</v>
      </c>
    </row>
    <row r="39" spans="1:7" x14ac:dyDescent="0.25">
      <c r="A39" s="74" t="s">
        <v>315</v>
      </c>
      <c r="B39" s="137">
        <v>26000000</v>
      </c>
      <c r="C39" s="137">
        <v>720172.54</v>
      </c>
      <c r="D39" s="137">
        <v>26720172.539999999</v>
      </c>
      <c r="E39" s="137">
        <v>26720172.539999999</v>
      </c>
      <c r="F39" s="137">
        <v>26720172.539999999</v>
      </c>
      <c r="G39" s="137">
        <f>D39-E39</f>
        <v>0</v>
      </c>
    </row>
    <row r="40" spans="1:7" x14ac:dyDescent="0.25">
      <c r="A40" s="74" t="s">
        <v>316</v>
      </c>
      <c r="B40" s="137">
        <v>0</v>
      </c>
      <c r="C40" s="137">
        <v>0</v>
      </c>
      <c r="D40" s="137">
        <v>0</v>
      </c>
      <c r="E40" s="137">
        <v>0</v>
      </c>
      <c r="F40" s="137">
        <v>0</v>
      </c>
      <c r="G40" s="137">
        <f t="shared" ref="G40:G47" si="8">D40-E40</f>
        <v>0</v>
      </c>
    </row>
    <row r="41" spans="1:7" x14ac:dyDescent="0.25">
      <c r="A41" s="74" t="s">
        <v>317</v>
      </c>
      <c r="B41" s="137">
        <v>3500000</v>
      </c>
      <c r="C41" s="137">
        <v>6215863.29</v>
      </c>
      <c r="D41" s="137">
        <v>9715863.2899999991</v>
      </c>
      <c r="E41" s="137">
        <v>8710167.2899999991</v>
      </c>
      <c r="F41" s="137">
        <v>8178146.4100000001</v>
      </c>
      <c r="G41" s="137">
        <f t="shared" si="8"/>
        <v>1005696</v>
      </c>
    </row>
    <row r="42" spans="1:7" x14ac:dyDescent="0.25">
      <c r="A42" s="74" t="s">
        <v>318</v>
      </c>
      <c r="B42" s="137">
        <v>7877713.0499999998</v>
      </c>
      <c r="C42" s="137">
        <v>5543205.8600000003</v>
      </c>
      <c r="D42" s="137">
        <v>13420918.91</v>
      </c>
      <c r="E42" s="137">
        <v>13420918.91</v>
      </c>
      <c r="F42" s="137">
        <v>12353323.73</v>
      </c>
      <c r="G42" s="137">
        <f t="shared" si="8"/>
        <v>0</v>
      </c>
    </row>
    <row r="43" spans="1:7" x14ac:dyDescent="0.25">
      <c r="A43" s="74" t="s">
        <v>319</v>
      </c>
      <c r="B43" s="137">
        <v>6195814.4000000004</v>
      </c>
      <c r="C43" s="137">
        <v>-2067656.29</v>
      </c>
      <c r="D43" s="137">
        <v>4128158.11</v>
      </c>
      <c r="E43" s="137">
        <v>4128158.11</v>
      </c>
      <c r="F43" s="137">
        <v>4128158.11</v>
      </c>
      <c r="G43" s="137">
        <f t="shared" si="8"/>
        <v>0</v>
      </c>
    </row>
    <row r="44" spans="1:7" x14ac:dyDescent="0.25">
      <c r="A44" s="74" t="s">
        <v>320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f t="shared" si="8"/>
        <v>0</v>
      </c>
    </row>
    <row r="45" spans="1:7" x14ac:dyDescent="0.25">
      <c r="A45" s="74" t="s">
        <v>321</v>
      </c>
      <c r="B45" s="137">
        <v>0</v>
      </c>
      <c r="C45" s="137">
        <v>0</v>
      </c>
      <c r="D45" s="137">
        <v>0</v>
      </c>
      <c r="E45" s="137">
        <v>0</v>
      </c>
      <c r="F45" s="137">
        <v>0</v>
      </c>
      <c r="G45" s="137">
        <f t="shared" si="8"/>
        <v>0</v>
      </c>
    </row>
    <row r="46" spans="1:7" x14ac:dyDescent="0.25">
      <c r="A46" s="74" t="s">
        <v>322</v>
      </c>
      <c r="B46" s="137">
        <v>0</v>
      </c>
      <c r="C46" s="137">
        <v>0</v>
      </c>
      <c r="D46" s="137">
        <v>0</v>
      </c>
      <c r="E46" s="137">
        <v>0</v>
      </c>
      <c r="F46" s="137">
        <v>0</v>
      </c>
      <c r="G46" s="137">
        <f t="shared" si="8"/>
        <v>0</v>
      </c>
    </row>
    <row r="47" spans="1:7" x14ac:dyDescent="0.25">
      <c r="A47" s="74" t="s">
        <v>323</v>
      </c>
      <c r="B47" s="137">
        <v>0</v>
      </c>
      <c r="C47" s="137">
        <v>0</v>
      </c>
      <c r="D47" s="137">
        <v>0</v>
      </c>
      <c r="E47" s="137">
        <v>0</v>
      </c>
      <c r="F47" s="137">
        <v>0</v>
      </c>
      <c r="G47" s="137">
        <f t="shared" si="8"/>
        <v>0</v>
      </c>
    </row>
    <row r="48" spans="1:7" x14ac:dyDescent="0.25">
      <c r="A48" s="73" t="s">
        <v>324</v>
      </c>
      <c r="B48" s="136">
        <f>SUM(B49:B57)</f>
        <v>1257500</v>
      </c>
      <c r="C48" s="136">
        <f t="shared" ref="C48:G48" si="9">SUM(C49:C57)</f>
        <v>2107967.5</v>
      </c>
      <c r="D48" s="136">
        <f t="shared" si="9"/>
        <v>3365467.5</v>
      </c>
      <c r="E48" s="136">
        <f t="shared" si="9"/>
        <v>3251247.71</v>
      </c>
      <c r="F48" s="136">
        <f t="shared" si="9"/>
        <v>2613073.71</v>
      </c>
      <c r="G48" s="136">
        <f t="shared" si="9"/>
        <v>114219.79000000018</v>
      </c>
    </row>
    <row r="49" spans="1:7" x14ac:dyDescent="0.25">
      <c r="A49" s="74" t="s">
        <v>325</v>
      </c>
      <c r="B49" s="137">
        <v>567500</v>
      </c>
      <c r="C49" s="137">
        <v>411734.03</v>
      </c>
      <c r="D49" s="137">
        <v>979234.03</v>
      </c>
      <c r="E49" s="137">
        <v>907623.45</v>
      </c>
      <c r="F49" s="137">
        <v>839668.33</v>
      </c>
      <c r="G49" s="137">
        <f>D49-E49</f>
        <v>71610.580000000075</v>
      </c>
    </row>
    <row r="50" spans="1:7" x14ac:dyDescent="0.25">
      <c r="A50" s="74" t="s">
        <v>326</v>
      </c>
      <c r="B50" s="137">
        <v>0</v>
      </c>
      <c r="C50" s="137">
        <v>0</v>
      </c>
      <c r="D50" s="137">
        <v>0</v>
      </c>
      <c r="E50" s="137">
        <v>0</v>
      </c>
      <c r="F50" s="137">
        <v>0</v>
      </c>
      <c r="G50" s="137">
        <f t="shared" ref="G50:G59" si="10">D50-E50</f>
        <v>0</v>
      </c>
    </row>
    <row r="51" spans="1:7" x14ac:dyDescent="0.25">
      <c r="A51" s="74" t="s">
        <v>327</v>
      </c>
      <c r="B51" s="137">
        <v>0</v>
      </c>
      <c r="C51" s="137">
        <v>0</v>
      </c>
      <c r="D51" s="137">
        <v>0</v>
      </c>
      <c r="E51" s="137">
        <v>0</v>
      </c>
      <c r="F51" s="137">
        <v>0</v>
      </c>
      <c r="G51" s="137">
        <f t="shared" si="10"/>
        <v>0</v>
      </c>
    </row>
    <row r="52" spans="1:7" x14ac:dyDescent="0.25">
      <c r="A52" s="74" t="s">
        <v>328</v>
      </c>
      <c r="B52" s="137">
        <v>0</v>
      </c>
      <c r="C52" s="137">
        <v>0</v>
      </c>
      <c r="D52" s="137">
        <v>0</v>
      </c>
      <c r="E52" s="137">
        <v>0</v>
      </c>
      <c r="F52" s="137">
        <v>0</v>
      </c>
      <c r="G52" s="137">
        <f t="shared" si="10"/>
        <v>0</v>
      </c>
    </row>
    <row r="53" spans="1:7" x14ac:dyDescent="0.25">
      <c r="A53" s="74" t="s">
        <v>329</v>
      </c>
      <c r="B53" s="137">
        <v>0</v>
      </c>
      <c r="C53" s="137">
        <v>8216.1</v>
      </c>
      <c r="D53" s="137">
        <v>8216.1</v>
      </c>
      <c r="E53" s="137">
        <v>0</v>
      </c>
      <c r="F53" s="137">
        <v>0</v>
      </c>
      <c r="G53" s="137">
        <f t="shared" si="10"/>
        <v>8216.1</v>
      </c>
    </row>
    <row r="54" spans="1:7" x14ac:dyDescent="0.25">
      <c r="A54" s="74" t="s">
        <v>330</v>
      </c>
      <c r="B54" s="137">
        <v>440000</v>
      </c>
      <c r="C54" s="137">
        <v>682159.61</v>
      </c>
      <c r="D54" s="137">
        <v>1122159.6100000001</v>
      </c>
      <c r="E54" s="137">
        <v>1087766.5</v>
      </c>
      <c r="F54" s="137">
        <v>1087766.5</v>
      </c>
      <c r="G54" s="137">
        <f t="shared" si="10"/>
        <v>34393.110000000102</v>
      </c>
    </row>
    <row r="55" spans="1:7" x14ac:dyDescent="0.25">
      <c r="A55" s="74" t="s">
        <v>331</v>
      </c>
      <c r="B55" s="137">
        <v>0</v>
      </c>
      <c r="C55" s="137">
        <v>0</v>
      </c>
      <c r="D55" s="137">
        <v>0</v>
      </c>
      <c r="E55" s="137">
        <v>0</v>
      </c>
      <c r="F55" s="137">
        <v>0</v>
      </c>
      <c r="G55" s="137">
        <f t="shared" si="10"/>
        <v>0</v>
      </c>
    </row>
    <row r="56" spans="1:7" x14ac:dyDescent="0.25">
      <c r="A56" s="74" t="s">
        <v>332</v>
      </c>
      <c r="B56" s="137">
        <v>0</v>
      </c>
      <c r="C56" s="137">
        <v>0</v>
      </c>
      <c r="D56" s="137">
        <v>0</v>
      </c>
      <c r="E56" s="137">
        <v>0</v>
      </c>
      <c r="F56" s="137">
        <v>0</v>
      </c>
      <c r="G56" s="137">
        <f t="shared" si="10"/>
        <v>0</v>
      </c>
    </row>
    <row r="57" spans="1:7" x14ac:dyDescent="0.25">
      <c r="A57" s="74" t="s">
        <v>333</v>
      </c>
      <c r="B57" s="137">
        <v>250000</v>
      </c>
      <c r="C57" s="137">
        <v>1005857.76</v>
      </c>
      <c r="D57" s="137">
        <v>1255857.76</v>
      </c>
      <c r="E57" s="137">
        <v>1255857.76</v>
      </c>
      <c r="F57" s="137">
        <v>685638.88</v>
      </c>
      <c r="G57" s="137">
        <f t="shared" si="10"/>
        <v>0</v>
      </c>
    </row>
    <row r="58" spans="1:7" x14ac:dyDescent="0.25">
      <c r="A58" s="73" t="s">
        <v>334</v>
      </c>
      <c r="B58" s="136">
        <f>SUM(B59:B61)</f>
        <v>2500000</v>
      </c>
      <c r="C58" s="136">
        <f t="shared" ref="C58:G58" si="11">SUM(C59:C61)</f>
        <v>2739698.63</v>
      </c>
      <c r="D58" s="136">
        <f t="shared" si="11"/>
        <v>5239698.63</v>
      </c>
      <c r="E58" s="136">
        <f t="shared" si="11"/>
        <v>5183210.8</v>
      </c>
      <c r="F58" s="136">
        <f t="shared" si="11"/>
        <v>1730905.14</v>
      </c>
      <c r="G58" s="136">
        <f t="shared" si="11"/>
        <v>56487.830000000075</v>
      </c>
    </row>
    <row r="59" spans="1:7" x14ac:dyDescent="0.25">
      <c r="A59" s="74" t="s">
        <v>335</v>
      </c>
      <c r="B59" s="137">
        <v>2500000</v>
      </c>
      <c r="C59" s="137">
        <v>2739698.63</v>
      </c>
      <c r="D59" s="137">
        <v>5239698.63</v>
      </c>
      <c r="E59" s="137">
        <v>5183210.8</v>
      </c>
      <c r="F59" s="137">
        <v>1730905.14</v>
      </c>
      <c r="G59" s="137">
        <f t="shared" si="10"/>
        <v>56487.830000000075</v>
      </c>
    </row>
    <row r="60" spans="1:7" x14ac:dyDescent="0.25">
      <c r="A60" s="74" t="s">
        <v>336</v>
      </c>
      <c r="B60" s="137">
        <v>0</v>
      </c>
      <c r="C60" s="137">
        <v>0</v>
      </c>
      <c r="D60" s="137">
        <v>0</v>
      </c>
      <c r="E60" s="137">
        <v>0</v>
      </c>
      <c r="F60" s="137">
        <v>0</v>
      </c>
      <c r="G60" s="137">
        <f t="shared" ref="G60:G61" si="12">D60-E60</f>
        <v>0</v>
      </c>
    </row>
    <row r="61" spans="1:7" x14ac:dyDescent="0.25">
      <c r="A61" s="74" t="s">
        <v>337</v>
      </c>
      <c r="B61" s="137">
        <v>0</v>
      </c>
      <c r="C61" s="137">
        <v>0</v>
      </c>
      <c r="D61" s="137">
        <v>0</v>
      </c>
      <c r="E61" s="137">
        <v>0</v>
      </c>
      <c r="F61" s="137">
        <v>0</v>
      </c>
      <c r="G61" s="137">
        <f t="shared" si="12"/>
        <v>0</v>
      </c>
    </row>
    <row r="62" spans="1:7" x14ac:dyDescent="0.25">
      <c r="A62" s="73" t="s">
        <v>338</v>
      </c>
      <c r="B62" s="136">
        <f>SUM(B63:B67,B69:B70)</f>
        <v>0</v>
      </c>
      <c r="C62" s="136">
        <f t="shared" ref="C62:G62" si="13">SUM(C63:C67,C69:C70)</f>
        <v>0</v>
      </c>
      <c r="D62" s="136">
        <f t="shared" si="13"/>
        <v>0</v>
      </c>
      <c r="E62" s="136">
        <f t="shared" si="13"/>
        <v>0</v>
      </c>
      <c r="F62" s="136">
        <f t="shared" si="13"/>
        <v>0</v>
      </c>
      <c r="G62" s="136">
        <f t="shared" si="13"/>
        <v>0</v>
      </c>
    </row>
    <row r="63" spans="1:7" x14ac:dyDescent="0.25">
      <c r="A63" s="74" t="s">
        <v>339</v>
      </c>
      <c r="B63" s="137">
        <v>0</v>
      </c>
      <c r="C63" s="137">
        <v>0</v>
      </c>
      <c r="D63" s="137">
        <v>0</v>
      </c>
      <c r="E63" s="137">
        <v>0</v>
      </c>
      <c r="F63" s="137">
        <v>0</v>
      </c>
      <c r="G63" s="137">
        <f>D63-E63</f>
        <v>0</v>
      </c>
    </row>
    <row r="64" spans="1:7" x14ac:dyDescent="0.25">
      <c r="A64" s="74" t="s">
        <v>340</v>
      </c>
      <c r="B64" s="137">
        <v>0</v>
      </c>
      <c r="C64" s="137">
        <v>0</v>
      </c>
      <c r="D64" s="137">
        <v>0</v>
      </c>
      <c r="E64" s="137">
        <v>0</v>
      </c>
      <c r="F64" s="137">
        <v>0</v>
      </c>
      <c r="G64" s="137">
        <f t="shared" ref="G64:G70" si="14">D64-E64</f>
        <v>0</v>
      </c>
    </row>
    <row r="65" spans="1:7" x14ac:dyDescent="0.25">
      <c r="A65" s="74" t="s">
        <v>341</v>
      </c>
      <c r="B65" s="137">
        <v>0</v>
      </c>
      <c r="C65" s="137">
        <v>0</v>
      </c>
      <c r="D65" s="137">
        <v>0</v>
      </c>
      <c r="E65" s="137">
        <v>0</v>
      </c>
      <c r="F65" s="137">
        <v>0</v>
      </c>
      <c r="G65" s="137">
        <f t="shared" si="14"/>
        <v>0</v>
      </c>
    </row>
    <row r="66" spans="1:7" x14ac:dyDescent="0.25">
      <c r="A66" s="74" t="s">
        <v>342</v>
      </c>
      <c r="B66" s="137">
        <v>0</v>
      </c>
      <c r="C66" s="137">
        <v>0</v>
      </c>
      <c r="D66" s="137">
        <v>0</v>
      </c>
      <c r="E66" s="137">
        <v>0</v>
      </c>
      <c r="F66" s="137">
        <v>0</v>
      </c>
      <c r="G66" s="137">
        <f t="shared" si="14"/>
        <v>0</v>
      </c>
    </row>
    <row r="67" spans="1:7" x14ac:dyDescent="0.25">
      <c r="A67" s="74" t="s">
        <v>343</v>
      </c>
      <c r="B67" s="137">
        <v>0</v>
      </c>
      <c r="C67" s="137">
        <v>0</v>
      </c>
      <c r="D67" s="137">
        <v>0</v>
      </c>
      <c r="E67" s="137">
        <v>0</v>
      </c>
      <c r="F67" s="137">
        <v>0</v>
      </c>
      <c r="G67" s="137">
        <f t="shared" si="14"/>
        <v>0</v>
      </c>
    </row>
    <row r="68" spans="1:7" x14ac:dyDescent="0.25">
      <c r="A68" s="74" t="s">
        <v>3293</v>
      </c>
      <c r="B68" s="137">
        <v>0</v>
      </c>
      <c r="C68" s="137">
        <v>0</v>
      </c>
      <c r="D68" s="137">
        <v>0</v>
      </c>
      <c r="E68" s="137">
        <v>0</v>
      </c>
      <c r="F68" s="137">
        <v>0</v>
      </c>
      <c r="G68" s="137">
        <f t="shared" si="14"/>
        <v>0</v>
      </c>
    </row>
    <row r="69" spans="1:7" x14ac:dyDescent="0.25">
      <c r="A69" s="74" t="s">
        <v>345</v>
      </c>
      <c r="B69" s="137">
        <v>0</v>
      </c>
      <c r="C69" s="137">
        <v>0</v>
      </c>
      <c r="D69" s="137">
        <v>0</v>
      </c>
      <c r="E69" s="137">
        <v>0</v>
      </c>
      <c r="F69" s="137">
        <v>0</v>
      </c>
      <c r="G69" s="137">
        <f t="shared" si="14"/>
        <v>0</v>
      </c>
    </row>
    <row r="70" spans="1:7" x14ac:dyDescent="0.25">
      <c r="A70" s="74" t="s">
        <v>346</v>
      </c>
      <c r="B70" s="137">
        <v>0</v>
      </c>
      <c r="C70" s="137">
        <v>0</v>
      </c>
      <c r="D70" s="137">
        <v>0</v>
      </c>
      <c r="E70" s="137">
        <v>0</v>
      </c>
      <c r="F70" s="137">
        <v>0</v>
      </c>
      <c r="G70" s="137">
        <f t="shared" si="14"/>
        <v>0</v>
      </c>
    </row>
    <row r="71" spans="1:7" x14ac:dyDescent="0.25">
      <c r="A71" s="73" t="s">
        <v>347</v>
      </c>
      <c r="B71" s="136">
        <f>SUM(B72:B74)</f>
        <v>5650000</v>
      </c>
      <c r="C71" s="136">
        <f t="shared" ref="C71:G71" si="15">SUM(C72:C74)</f>
        <v>-4984200</v>
      </c>
      <c r="D71" s="136">
        <f t="shared" si="15"/>
        <v>665800</v>
      </c>
      <c r="E71" s="136">
        <f t="shared" si="15"/>
        <v>644800</v>
      </c>
      <c r="F71" s="136">
        <f t="shared" si="15"/>
        <v>644800</v>
      </c>
      <c r="G71" s="136">
        <f t="shared" si="15"/>
        <v>21000</v>
      </c>
    </row>
    <row r="72" spans="1:7" x14ac:dyDescent="0.25">
      <c r="A72" s="74" t="s">
        <v>348</v>
      </c>
      <c r="B72" s="137">
        <v>0</v>
      </c>
      <c r="C72" s="137">
        <v>0</v>
      </c>
      <c r="D72" s="137">
        <v>0</v>
      </c>
      <c r="E72" s="137">
        <v>0</v>
      </c>
      <c r="F72" s="137">
        <v>0</v>
      </c>
      <c r="G72" s="137">
        <f>D72-E72</f>
        <v>0</v>
      </c>
    </row>
    <row r="73" spans="1:7" x14ac:dyDescent="0.25">
      <c r="A73" s="74" t="s">
        <v>349</v>
      </c>
      <c r="B73" s="137">
        <v>0</v>
      </c>
      <c r="C73" s="137">
        <v>0</v>
      </c>
      <c r="D73" s="137">
        <v>0</v>
      </c>
      <c r="E73" s="137">
        <v>0</v>
      </c>
      <c r="F73" s="137">
        <v>0</v>
      </c>
      <c r="G73" s="137">
        <f t="shared" ref="G73:G74" si="16">D73-E73</f>
        <v>0</v>
      </c>
    </row>
    <row r="74" spans="1:7" x14ac:dyDescent="0.25">
      <c r="A74" s="74" t="s">
        <v>350</v>
      </c>
      <c r="B74" s="137">
        <v>5650000</v>
      </c>
      <c r="C74" s="137">
        <v>-4984200</v>
      </c>
      <c r="D74" s="137">
        <v>665800</v>
      </c>
      <c r="E74" s="137">
        <v>644800</v>
      </c>
      <c r="F74" s="137">
        <v>644800</v>
      </c>
      <c r="G74" s="137">
        <f t="shared" si="16"/>
        <v>21000</v>
      </c>
    </row>
    <row r="75" spans="1:7" x14ac:dyDescent="0.25">
      <c r="A75" s="73" t="s">
        <v>351</v>
      </c>
      <c r="B75" s="136">
        <f>SUM(B76:B82)</f>
        <v>31000000</v>
      </c>
      <c r="C75" s="136">
        <f t="shared" ref="C75:G75" si="17">SUM(C76:C82)</f>
        <v>-703414.67</v>
      </c>
      <c r="D75" s="136">
        <f t="shared" si="17"/>
        <v>30296585.329999998</v>
      </c>
      <c r="E75" s="136">
        <f t="shared" si="17"/>
        <v>30296585.329999998</v>
      </c>
      <c r="F75" s="136">
        <f t="shared" si="17"/>
        <v>30296585.329999998</v>
      </c>
      <c r="G75" s="136">
        <f t="shared" si="17"/>
        <v>0</v>
      </c>
    </row>
    <row r="76" spans="1:7" x14ac:dyDescent="0.25">
      <c r="A76" s="74" t="s">
        <v>352</v>
      </c>
      <c r="B76" s="137">
        <v>29000000</v>
      </c>
      <c r="C76" s="137" t="s">
        <v>3296</v>
      </c>
      <c r="D76" s="137">
        <v>29000000</v>
      </c>
      <c r="E76" s="137">
        <v>29000000</v>
      </c>
      <c r="F76" s="137">
        <v>29000000</v>
      </c>
      <c r="G76" s="137">
        <f>D76-E76</f>
        <v>0</v>
      </c>
    </row>
    <row r="77" spans="1:7" x14ac:dyDescent="0.25">
      <c r="A77" s="74" t="s">
        <v>353</v>
      </c>
      <c r="B77" s="137">
        <v>2000000</v>
      </c>
      <c r="C77" s="137">
        <v>-703414.67</v>
      </c>
      <c r="D77" s="137">
        <v>1296585.33</v>
      </c>
      <c r="E77" s="137">
        <v>1296585.33</v>
      </c>
      <c r="F77" s="137">
        <v>1296585.33</v>
      </c>
      <c r="G77" s="137">
        <f t="shared" ref="G77" si="18">D77-E77</f>
        <v>0</v>
      </c>
    </row>
    <row r="78" spans="1:7" x14ac:dyDescent="0.25">
      <c r="A78" s="74" t="s">
        <v>354</v>
      </c>
      <c r="B78" s="137">
        <v>0</v>
      </c>
      <c r="C78" s="137">
        <v>0</v>
      </c>
      <c r="D78" s="137">
        <v>0</v>
      </c>
      <c r="E78" s="137">
        <v>0</v>
      </c>
      <c r="F78" s="137">
        <v>0</v>
      </c>
      <c r="G78" s="137">
        <f>D78-E78</f>
        <v>0</v>
      </c>
    </row>
    <row r="79" spans="1:7" x14ac:dyDescent="0.25">
      <c r="A79" s="74" t="s">
        <v>355</v>
      </c>
      <c r="B79" s="137">
        <v>0</v>
      </c>
      <c r="C79" s="137">
        <v>0</v>
      </c>
      <c r="D79" s="137">
        <v>0</v>
      </c>
      <c r="E79" s="137">
        <v>0</v>
      </c>
      <c r="F79" s="137">
        <v>0</v>
      </c>
      <c r="G79" s="137">
        <f>D79-E79</f>
        <v>0</v>
      </c>
    </row>
    <row r="80" spans="1:7" x14ac:dyDescent="0.25">
      <c r="A80" s="74" t="s">
        <v>356</v>
      </c>
      <c r="B80" s="137">
        <v>0</v>
      </c>
      <c r="C80" s="137">
        <v>0</v>
      </c>
      <c r="D80" s="137">
        <v>0</v>
      </c>
      <c r="E80" s="137">
        <v>0</v>
      </c>
      <c r="F80" s="137">
        <v>0</v>
      </c>
      <c r="G80" s="137">
        <f>D80-E80</f>
        <v>0</v>
      </c>
    </row>
    <row r="81" spans="1:7" x14ac:dyDescent="0.25">
      <c r="A81" s="74" t="s">
        <v>357</v>
      </c>
      <c r="B81" s="137">
        <v>0</v>
      </c>
      <c r="C81" s="137">
        <v>0</v>
      </c>
      <c r="D81" s="137">
        <v>0</v>
      </c>
      <c r="E81" s="137">
        <v>0</v>
      </c>
      <c r="F81" s="137">
        <v>0</v>
      </c>
      <c r="G81" s="137">
        <f>D81-E81</f>
        <v>0</v>
      </c>
    </row>
    <row r="82" spans="1:7" x14ac:dyDescent="0.25">
      <c r="A82" s="74" t="s">
        <v>358</v>
      </c>
      <c r="B82" s="137">
        <v>0</v>
      </c>
      <c r="C82" s="137">
        <v>0</v>
      </c>
      <c r="D82" s="137">
        <v>0</v>
      </c>
      <c r="E82" s="137">
        <v>0</v>
      </c>
      <c r="F82" s="137">
        <v>0</v>
      </c>
      <c r="G82" s="137">
        <f>D82-E82</f>
        <v>0</v>
      </c>
    </row>
    <row r="83" spans="1:7" x14ac:dyDescent="0.25">
      <c r="A83" s="75"/>
      <c r="B83" s="71"/>
      <c r="C83" s="71"/>
      <c r="D83" s="71"/>
      <c r="E83" s="71"/>
      <c r="F83" s="71"/>
      <c r="G83" s="71"/>
    </row>
    <row r="84" spans="1:7" x14ac:dyDescent="0.25">
      <c r="A84" s="76" t="s">
        <v>359</v>
      </c>
      <c r="B84" s="136">
        <f>SUM(B85,B93,B103,B113,B123,B133,B137,B146,B150)</f>
        <v>211659985</v>
      </c>
      <c r="C84" s="136">
        <f t="shared" ref="C84:G84" si="19">SUM(C85,C93,C103,C113,C123,C133,C137,C146,C150)</f>
        <v>76235451.180000007</v>
      </c>
      <c r="D84" s="136">
        <f t="shared" si="19"/>
        <v>287895436.18000007</v>
      </c>
      <c r="E84" s="136">
        <f t="shared" si="19"/>
        <v>243829139.14000002</v>
      </c>
      <c r="F84" s="136">
        <f t="shared" si="19"/>
        <v>239031306.31999999</v>
      </c>
      <c r="G84" s="136">
        <f t="shared" si="19"/>
        <v>44066297.040000007</v>
      </c>
    </row>
    <row r="85" spans="1:7" x14ac:dyDescent="0.25">
      <c r="A85" s="73" t="s">
        <v>286</v>
      </c>
      <c r="B85" s="136">
        <f>SUM(B86:B92)</f>
        <v>102214217.80000001</v>
      </c>
      <c r="C85" s="136">
        <f t="shared" ref="C85:G85" si="20">SUM(C86:C92)</f>
        <v>-11283210.790000003</v>
      </c>
      <c r="D85" s="136">
        <f t="shared" si="20"/>
        <v>90931007.00999999</v>
      </c>
      <c r="E85" s="136">
        <f t="shared" si="20"/>
        <v>90931007.00999999</v>
      </c>
      <c r="F85" s="136">
        <f t="shared" ref="F85" si="21">SUM(F86:F92)</f>
        <v>90931007.00999999</v>
      </c>
      <c r="G85" s="136">
        <f t="shared" si="20"/>
        <v>0</v>
      </c>
    </row>
    <row r="86" spans="1:7" x14ac:dyDescent="0.25">
      <c r="A86" s="74" t="s">
        <v>287</v>
      </c>
      <c r="B86" s="137">
        <v>70678863.680000007</v>
      </c>
      <c r="C86" s="137">
        <v>-14449347.960000001</v>
      </c>
      <c r="D86" s="137">
        <v>56229515.719999999</v>
      </c>
      <c r="E86" s="137">
        <v>56229515.719999999</v>
      </c>
      <c r="F86" s="137">
        <v>56229515.719999999</v>
      </c>
      <c r="G86" s="137">
        <f t="shared" ref="G86:G92" si="22">D86-E86</f>
        <v>0</v>
      </c>
    </row>
    <row r="87" spans="1:7" x14ac:dyDescent="0.25">
      <c r="A87" s="74" t="s">
        <v>288</v>
      </c>
      <c r="B87" s="137">
        <v>6464719</v>
      </c>
      <c r="C87" s="137">
        <v>2322149.88</v>
      </c>
      <c r="D87" s="137">
        <v>8786868.8800000008</v>
      </c>
      <c r="E87" s="137">
        <v>8786868.8800000008</v>
      </c>
      <c r="F87" s="137">
        <v>8786868.8800000008</v>
      </c>
      <c r="G87" s="137">
        <f t="shared" si="22"/>
        <v>0</v>
      </c>
    </row>
    <row r="88" spans="1:7" x14ac:dyDescent="0.25">
      <c r="A88" s="74" t="s">
        <v>289</v>
      </c>
      <c r="B88" s="137">
        <v>13376022.109999999</v>
      </c>
      <c r="C88" s="137">
        <v>-5074904.9400000004</v>
      </c>
      <c r="D88" s="137">
        <v>8301117.1699999999</v>
      </c>
      <c r="E88" s="137">
        <v>8301117.1699999999</v>
      </c>
      <c r="F88" s="137">
        <v>8301117.1699999999</v>
      </c>
      <c r="G88" s="137">
        <f t="shared" si="22"/>
        <v>0</v>
      </c>
    </row>
    <row r="89" spans="1:7" x14ac:dyDescent="0.25">
      <c r="A89" s="74" t="s">
        <v>290</v>
      </c>
      <c r="B89" s="137">
        <v>1000000</v>
      </c>
      <c r="C89" s="137">
        <v>1687638.55</v>
      </c>
      <c r="D89" s="137">
        <v>2687638.55</v>
      </c>
      <c r="E89" s="137">
        <v>2687638.55</v>
      </c>
      <c r="F89" s="137">
        <v>2687638.55</v>
      </c>
      <c r="G89" s="137">
        <f t="shared" si="22"/>
        <v>0</v>
      </c>
    </row>
    <row r="90" spans="1:7" x14ac:dyDescent="0.25">
      <c r="A90" s="74" t="s">
        <v>291</v>
      </c>
      <c r="B90" s="137">
        <v>10694613.01</v>
      </c>
      <c r="C90" s="137">
        <v>4231253.68</v>
      </c>
      <c r="D90" s="137">
        <v>14925866.689999999</v>
      </c>
      <c r="E90" s="137">
        <v>14925866.689999999</v>
      </c>
      <c r="F90" s="137">
        <v>14925866.689999999</v>
      </c>
      <c r="G90" s="137">
        <f t="shared" si="22"/>
        <v>0</v>
      </c>
    </row>
    <row r="91" spans="1:7" x14ac:dyDescent="0.25">
      <c r="A91" s="74" t="s">
        <v>292</v>
      </c>
      <c r="B91" s="137">
        <v>0</v>
      </c>
      <c r="C91" s="137">
        <v>0</v>
      </c>
      <c r="D91" s="137">
        <v>0</v>
      </c>
      <c r="E91" s="137">
        <v>0</v>
      </c>
      <c r="F91" s="137">
        <v>0</v>
      </c>
      <c r="G91" s="137">
        <f t="shared" si="22"/>
        <v>0</v>
      </c>
    </row>
    <row r="92" spans="1:7" x14ac:dyDescent="0.25">
      <c r="A92" s="74" t="s">
        <v>293</v>
      </c>
      <c r="B92" s="137">
        <v>0</v>
      </c>
      <c r="C92" s="137">
        <v>0</v>
      </c>
      <c r="D92" s="137">
        <v>0</v>
      </c>
      <c r="E92" s="137">
        <v>0</v>
      </c>
      <c r="F92" s="137">
        <v>0</v>
      </c>
      <c r="G92" s="137">
        <f t="shared" si="22"/>
        <v>0</v>
      </c>
    </row>
    <row r="93" spans="1:7" x14ac:dyDescent="0.25">
      <c r="A93" s="73" t="s">
        <v>294</v>
      </c>
      <c r="B93" s="136">
        <f>SUM(B94:B102)</f>
        <v>9995000</v>
      </c>
      <c r="C93" s="136">
        <f t="shared" ref="C93:G93" si="23">SUM(C94:C102)</f>
        <v>8328049.1200000001</v>
      </c>
      <c r="D93" s="136">
        <f t="shared" si="23"/>
        <v>18323049.119999997</v>
      </c>
      <c r="E93" s="136">
        <f t="shared" si="23"/>
        <v>18316218.869999997</v>
      </c>
      <c r="F93" s="136">
        <f t="shared" si="23"/>
        <v>18485928.169999998</v>
      </c>
      <c r="G93" s="136">
        <f t="shared" si="23"/>
        <v>6830.2500000004657</v>
      </c>
    </row>
    <row r="94" spans="1:7" x14ac:dyDescent="0.25">
      <c r="A94" s="74" t="s">
        <v>295</v>
      </c>
      <c r="B94" s="137">
        <v>0</v>
      </c>
      <c r="C94" s="137">
        <v>0</v>
      </c>
      <c r="D94" s="137">
        <v>0</v>
      </c>
      <c r="E94" s="137">
        <v>0</v>
      </c>
      <c r="F94" s="137">
        <v>0</v>
      </c>
      <c r="G94" s="137">
        <f>D94-E94</f>
        <v>0</v>
      </c>
    </row>
    <row r="95" spans="1:7" x14ac:dyDescent="0.25">
      <c r="A95" s="74" t="s">
        <v>296</v>
      </c>
      <c r="B95" s="137">
        <v>150000</v>
      </c>
      <c r="C95" s="137">
        <v>-98351</v>
      </c>
      <c r="D95" s="137">
        <v>51649</v>
      </c>
      <c r="E95" s="137">
        <v>51649</v>
      </c>
      <c r="F95" s="137">
        <v>51649</v>
      </c>
      <c r="G95" s="137">
        <f>D95-E95</f>
        <v>0</v>
      </c>
    </row>
    <row r="96" spans="1:7" x14ac:dyDescent="0.25">
      <c r="A96" s="74" t="s">
        <v>297</v>
      </c>
      <c r="B96" s="137">
        <v>0</v>
      </c>
      <c r="C96" s="137">
        <v>0</v>
      </c>
      <c r="D96" s="137">
        <v>0</v>
      </c>
      <c r="E96" s="137">
        <v>0</v>
      </c>
      <c r="F96" s="137">
        <v>0</v>
      </c>
      <c r="G96" s="137">
        <f>D96-E96</f>
        <v>0</v>
      </c>
    </row>
    <row r="97" spans="1:7" x14ac:dyDescent="0.25">
      <c r="A97" s="74" t="s">
        <v>298</v>
      </c>
      <c r="B97" s="137">
        <v>1000000</v>
      </c>
      <c r="C97" s="137">
        <v>1355061.54</v>
      </c>
      <c r="D97" s="137">
        <v>2355061.54</v>
      </c>
      <c r="E97" s="137">
        <v>2355061.54</v>
      </c>
      <c r="F97" s="137">
        <v>2355061.54</v>
      </c>
      <c r="G97" s="137">
        <f>D97-E97</f>
        <v>0</v>
      </c>
    </row>
    <row r="98" spans="1:7" x14ac:dyDescent="0.25">
      <c r="A98" s="40" t="s">
        <v>299</v>
      </c>
      <c r="B98" s="137">
        <v>0</v>
      </c>
      <c r="C98" s="137">
        <v>0</v>
      </c>
      <c r="D98" s="137">
        <v>0</v>
      </c>
      <c r="E98" s="137">
        <v>0</v>
      </c>
      <c r="F98" s="137">
        <v>0</v>
      </c>
      <c r="G98" s="137">
        <f t="shared" ref="G98:G102" si="24">D98-E98</f>
        <v>0</v>
      </c>
    </row>
    <row r="99" spans="1:7" x14ac:dyDescent="0.25">
      <c r="A99" s="74" t="s">
        <v>300</v>
      </c>
      <c r="B99" s="137">
        <v>8480000</v>
      </c>
      <c r="C99" s="137">
        <v>2787695.82</v>
      </c>
      <c r="D99" s="137">
        <v>11267695.82</v>
      </c>
      <c r="E99" s="137">
        <v>11267695.82</v>
      </c>
      <c r="F99" s="137">
        <v>11267695.82</v>
      </c>
      <c r="G99" s="137">
        <f t="shared" si="24"/>
        <v>0</v>
      </c>
    </row>
    <row r="100" spans="1:7" x14ac:dyDescent="0.25">
      <c r="A100" s="74" t="s">
        <v>301</v>
      </c>
      <c r="B100" s="137">
        <v>15000</v>
      </c>
      <c r="C100" s="137">
        <v>4072678.97</v>
      </c>
      <c r="D100" s="137">
        <v>4087678.97</v>
      </c>
      <c r="E100" s="137">
        <v>4081284.51</v>
      </c>
      <c r="F100" s="137">
        <v>4081284.51</v>
      </c>
      <c r="G100" s="137">
        <f t="shared" si="24"/>
        <v>6394.4600000004284</v>
      </c>
    </row>
    <row r="101" spans="1:7" x14ac:dyDescent="0.25">
      <c r="A101" s="74" t="s">
        <v>302</v>
      </c>
      <c r="B101" s="137">
        <v>350000</v>
      </c>
      <c r="C101" s="137">
        <v>160780.32999999999</v>
      </c>
      <c r="D101" s="137">
        <v>510780.33</v>
      </c>
      <c r="E101" s="137">
        <v>510344.54</v>
      </c>
      <c r="F101" s="137">
        <v>680053.84</v>
      </c>
      <c r="G101" s="137">
        <f t="shared" si="24"/>
        <v>435.79000000003725</v>
      </c>
    </row>
    <row r="102" spans="1:7" x14ac:dyDescent="0.25">
      <c r="A102" s="74" t="s">
        <v>303</v>
      </c>
      <c r="B102" s="137">
        <v>0</v>
      </c>
      <c r="C102" s="137">
        <v>50183.46</v>
      </c>
      <c r="D102" s="137">
        <v>50183.46</v>
      </c>
      <c r="E102" s="137">
        <v>50183.46</v>
      </c>
      <c r="F102" s="137">
        <v>50183.46</v>
      </c>
      <c r="G102" s="137">
        <f t="shared" si="24"/>
        <v>0</v>
      </c>
    </row>
    <row r="103" spans="1:7" x14ac:dyDescent="0.25">
      <c r="A103" s="73" t="s">
        <v>304</v>
      </c>
      <c r="B103" s="136">
        <f>SUM(B104:B112)</f>
        <v>10489893</v>
      </c>
      <c r="C103" s="136">
        <f>SUM(C104:C112)</f>
        <v>13866730.130000001</v>
      </c>
      <c r="D103" s="136">
        <f t="shared" ref="D103:G103" si="25">SUM(D104:D112)</f>
        <v>24356623.130000003</v>
      </c>
      <c r="E103" s="136">
        <f t="shared" si="25"/>
        <v>24352125.48</v>
      </c>
      <c r="F103" s="136">
        <f t="shared" si="25"/>
        <v>24069229.440000001</v>
      </c>
      <c r="G103" s="136">
        <f t="shared" si="25"/>
        <v>4497.6500000011292</v>
      </c>
    </row>
    <row r="104" spans="1:7" x14ac:dyDescent="0.25">
      <c r="A104" s="74" t="s">
        <v>305</v>
      </c>
      <c r="B104" s="137">
        <v>1000000</v>
      </c>
      <c r="C104" s="137">
        <v>967279.76</v>
      </c>
      <c r="D104" s="137">
        <v>1967279.76</v>
      </c>
      <c r="E104" s="137">
        <v>1967279.76</v>
      </c>
      <c r="F104" s="137">
        <v>1967279.76</v>
      </c>
      <c r="G104" s="137">
        <f t="shared" ref="G104:G112" si="26">D104-E104</f>
        <v>0</v>
      </c>
    </row>
    <row r="105" spans="1:7" x14ac:dyDescent="0.25">
      <c r="A105" s="74" t="s">
        <v>306</v>
      </c>
      <c r="B105" s="137">
        <v>0</v>
      </c>
      <c r="C105" s="137">
        <v>0</v>
      </c>
      <c r="D105" s="137">
        <v>0</v>
      </c>
      <c r="E105" s="137">
        <v>0</v>
      </c>
      <c r="F105" s="137">
        <v>0</v>
      </c>
      <c r="G105" s="137">
        <f t="shared" si="26"/>
        <v>0</v>
      </c>
    </row>
    <row r="106" spans="1:7" x14ac:dyDescent="0.25">
      <c r="A106" s="74" t="s">
        <v>307</v>
      </c>
      <c r="B106" s="137">
        <v>0</v>
      </c>
      <c r="C106" s="137">
        <v>3998380</v>
      </c>
      <c r="D106" s="137">
        <v>3998380</v>
      </c>
      <c r="E106" s="137">
        <v>3994080</v>
      </c>
      <c r="F106" s="137">
        <v>4201080</v>
      </c>
      <c r="G106" s="137">
        <f t="shared" si="26"/>
        <v>4300</v>
      </c>
    </row>
    <row r="107" spans="1:7" x14ac:dyDescent="0.25">
      <c r="A107" s="74" t="s">
        <v>308</v>
      </c>
      <c r="B107" s="137">
        <v>1000000</v>
      </c>
      <c r="C107" s="137">
        <v>830009.07</v>
      </c>
      <c r="D107" s="137">
        <v>1830009.07</v>
      </c>
      <c r="E107" s="137">
        <v>1830009.07</v>
      </c>
      <c r="F107" s="137">
        <v>1830009.07</v>
      </c>
      <c r="G107" s="137">
        <f t="shared" si="26"/>
        <v>0</v>
      </c>
    </row>
    <row r="108" spans="1:7" x14ac:dyDescent="0.25">
      <c r="A108" s="74" t="s">
        <v>309</v>
      </c>
      <c r="B108" s="137">
        <v>4615000</v>
      </c>
      <c r="C108" s="137">
        <v>8441547.3000000007</v>
      </c>
      <c r="D108" s="137">
        <v>13056547.300000001</v>
      </c>
      <c r="E108" s="137">
        <v>13056547.1</v>
      </c>
      <c r="F108" s="137">
        <v>12954126.060000001</v>
      </c>
      <c r="G108" s="137">
        <f t="shared" si="26"/>
        <v>0.20000000111758709</v>
      </c>
    </row>
    <row r="109" spans="1:7" x14ac:dyDescent="0.25">
      <c r="A109" s="74" t="s">
        <v>310</v>
      </c>
      <c r="B109" s="137">
        <v>0</v>
      </c>
      <c r="C109" s="137">
        <v>72965</v>
      </c>
      <c r="D109" s="137">
        <v>72965</v>
      </c>
      <c r="E109" s="137">
        <v>72965</v>
      </c>
      <c r="F109" s="137">
        <v>72965</v>
      </c>
      <c r="G109" s="137">
        <f t="shared" si="26"/>
        <v>0</v>
      </c>
    </row>
    <row r="110" spans="1:7" x14ac:dyDescent="0.25">
      <c r="A110" s="74" t="s">
        <v>311</v>
      </c>
      <c r="B110" s="137">
        <v>0</v>
      </c>
      <c r="C110" s="137">
        <v>0</v>
      </c>
      <c r="D110" s="137">
        <v>0</v>
      </c>
      <c r="E110" s="137">
        <v>0</v>
      </c>
      <c r="F110" s="137">
        <v>0</v>
      </c>
      <c r="G110" s="137">
        <f t="shared" si="26"/>
        <v>0</v>
      </c>
    </row>
    <row r="111" spans="1:7" x14ac:dyDescent="0.25">
      <c r="A111" s="74" t="s">
        <v>312</v>
      </c>
      <c r="B111" s="137">
        <v>0</v>
      </c>
      <c r="C111" s="137">
        <v>154072</v>
      </c>
      <c r="D111" s="137">
        <v>154072</v>
      </c>
      <c r="E111" s="137">
        <v>153874.54999999999</v>
      </c>
      <c r="F111" s="137">
        <v>153874.54999999999</v>
      </c>
      <c r="G111" s="137">
        <f t="shared" si="26"/>
        <v>197.45000000001164</v>
      </c>
    </row>
    <row r="112" spans="1:7" x14ac:dyDescent="0.25">
      <c r="A112" s="74" t="s">
        <v>313</v>
      </c>
      <c r="B112" s="137">
        <v>3874893</v>
      </c>
      <c r="C112" s="137">
        <v>-597523</v>
      </c>
      <c r="D112" s="137">
        <v>3277370</v>
      </c>
      <c r="E112" s="137">
        <v>3277370</v>
      </c>
      <c r="F112" s="137">
        <v>2889895</v>
      </c>
      <c r="G112" s="137">
        <f t="shared" si="26"/>
        <v>0</v>
      </c>
    </row>
    <row r="113" spans="1:7" x14ac:dyDescent="0.25">
      <c r="A113" s="73" t="s">
        <v>314</v>
      </c>
      <c r="B113" s="136">
        <f>SUM(B114:B122)</f>
        <v>0</v>
      </c>
      <c r="C113" s="136">
        <f t="shared" ref="C113:G113" si="27">SUM(C114:C122)</f>
        <v>14368926.490000002</v>
      </c>
      <c r="D113" s="136">
        <f t="shared" si="27"/>
        <v>14368926.490000002</v>
      </c>
      <c r="E113" s="136">
        <f t="shared" si="27"/>
        <v>13388184.6</v>
      </c>
      <c r="F113" s="136">
        <f t="shared" si="27"/>
        <v>12520663.82</v>
      </c>
      <c r="G113" s="136">
        <f t="shared" si="27"/>
        <v>980741.89000000153</v>
      </c>
    </row>
    <row r="114" spans="1:7" x14ac:dyDescent="0.25">
      <c r="A114" s="74" t="s">
        <v>315</v>
      </c>
      <c r="B114" s="137">
        <v>0</v>
      </c>
      <c r="C114" s="137">
        <v>32000</v>
      </c>
      <c r="D114" s="137">
        <v>32000</v>
      </c>
      <c r="E114" s="137">
        <v>32000</v>
      </c>
      <c r="F114" s="137">
        <v>32000</v>
      </c>
      <c r="G114" s="137">
        <f t="shared" ref="G114:G122" si="28">D114-E114</f>
        <v>0</v>
      </c>
    </row>
    <row r="115" spans="1:7" x14ac:dyDescent="0.25">
      <c r="A115" s="74" t="s">
        <v>316</v>
      </c>
      <c r="B115" s="137">
        <v>0</v>
      </c>
      <c r="C115" s="137">
        <v>0</v>
      </c>
      <c r="D115" s="137">
        <v>0</v>
      </c>
      <c r="E115" s="137">
        <v>0</v>
      </c>
      <c r="F115" s="137">
        <v>0</v>
      </c>
      <c r="G115" s="137">
        <f t="shared" si="28"/>
        <v>0</v>
      </c>
    </row>
    <row r="116" spans="1:7" x14ac:dyDescent="0.25">
      <c r="A116" s="74" t="s">
        <v>317</v>
      </c>
      <c r="B116" s="137">
        <v>0</v>
      </c>
      <c r="C116" s="137">
        <v>5936875.9400000004</v>
      </c>
      <c r="D116" s="137">
        <v>5936875.9400000004</v>
      </c>
      <c r="E116" s="137">
        <v>4956134.33</v>
      </c>
      <c r="F116" s="137">
        <v>4301913.4000000004</v>
      </c>
      <c r="G116" s="137">
        <f t="shared" si="28"/>
        <v>980741.61000000034</v>
      </c>
    </row>
    <row r="117" spans="1:7" x14ac:dyDescent="0.25">
      <c r="A117" s="74" t="s">
        <v>318</v>
      </c>
      <c r="B117" s="137">
        <v>0</v>
      </c>
      <c r="C117" s="137">
        <v>8400050.5500000007</v>
      </c>
      <c r="D117" s="137">
        <v>8400050.5500000007</v>
      </c>
      <c r="E117" s="137">
        <v>8400050.2699999996</v>
      </c>
      <c r="F117" s="137">
        <v>8186750.4199999999</v>
      </c>
      <c r="G117" s="137">
        <f t="shared" si="28"/>
        <v>0.2800000011920929</v>
      </c>
    </row>
    <row r="118" spans="1:7" x14ac:dyDescent="0.25">
      <c r="A118" s="74" t="s">
        <v>319</v>
      </c>
      <c r="B118" s="137">
        <v>0</v>
      </c>
      <c r="C118" s="137">
        <v>0</v>
      </c>
      <c r="D118" s="137">
        <v>0</v>
      </c>
      <c r="E118" s="137">
        <v>0</v>
      </c>
      <c r="F118" s="137">
        <v>0</v>
      </c>
      <c r="G118" s="137">
        <f t="shared" si="28"/>
        <v>0</v>
      </c>
    </row>
    <row r="119" spans="1:7" x14ac:dyDescent="0.25">
      <c r="A119" s="74" t="s">
        <v>320</v>
      </c>
      <c r="B119" s="137">
        <v>0</v>
      </c>
      <c r="C119" s="137">
        <v>0</v>
      </c>
      <c r="D119" s="137">
        <v>0</v>
      </c>
      <c r="E119" s="137">
        <v>0</v>
      </c>
      <c r="F119" s="137">
        <v>0</v>
      </c>
      <c r="G119" s="137">
        <f t="shared" si="28"/>
        <v>0</v>
      </c>
    </row>
    <row r="120" spans="1:7" x14ac:dyDescent="0.25">
      <c r="A120" s="74" t="s">
        <v>321</v>
      </c>
      <c r="B120" s="137">
        <v>0</v>
      </c>
      <c r="C120" s="137">
        <v>0</v>
      </c>
      <c r="D120" s="137">
        <v>0</v>
      </c>
      <c r="E120" s="137">
        <v>0</v>
      </c>
      <c r="F120" s="137">
        <v>0</v>
      </c>
      <c r="G120" s="137">
        <f t="shared" si="28"/>
        <v>0</v>
      </c>
    </row>
    <row r="121" spans="1:7" x14ac:dyDescent="0.25">
      <c r="A121" s="74" t="s">
        <v>322</v>
      </c>
      <c r="B121" s="137">
        <v>0</v>
      </c>
      <c r="C121" s="137">
        <v>0</v>
      </c>
      <c r="D121" s="137">
        <v>0</v>
      </c>
      <c r="E121" s="137">
        <v>0</v>
      </c>
      <c r="F121" s="137">
        <v>0</v>
      </c>
      <c r="G121" s="137">
        <f t="shared" si="28"/>
        <v>0</v>
      </c>
    </row>
    <row r="122" spans="1:7" x14ac:dyDescent="0.25">
      <c r="A122" s="74" t="s">
        <v>323</v>
      </c>
      <c r="B122" s="137">
        <v>0</v>
      </c>
      <c r="C122" s="137">
        <v>0</v>
      </c>
      <c r="D122" s="137">
        <v>0</v>
      </c>
      <c r="E122" s="137">
        <v>0</v>
      </c>
      <c r="F122" s="137">
        <v>0</v>
      </c>
      <c r="G122" s="137">
        <f t="shared" si="28"/>
        <v>0</v>
      </c>
    </row>
    <row r="123" spans="1:7" x14ac:dyDescent="0.25">
      <c r="A123" s="73" t="s">
        <v>324</v>
      </c>
      <c r="B123" s="136">
        <f>SUM(B124:B132)</f>
        <v>0</v>
      </c>
      <c r="C123" s="136">
        <f t="shared" ref="C123:G123" si="29">SUM(C124:C132)</f>
        <v>3826383.5199999996</v>
      </c>
      <c r="D123" s="136">
        <f t="shared" si="29"/>
        <v>3826383.5199999996</v>
      </c>
      <c r="E123" s="136">
        <f t="shared" si="29"/>
        <v>3826383.5199999996</v>
      </c>
      <c r="F123" s="136">
        <f t="shared" si="29"/>
        <v>3826383.5199999996</v>
      </c>
      <c r="G123" s="136">
        <f t="shared" si="29"/>
        <v>0</v>
      </c>
    </row>
    <row r="124" spans="1:7" x14ac:dyDescent="0.25">
      <c r="A124" s="74" t="s">
        <v>325</v>
      </c>
      <c r="B124" s="137">
        <v>0</v>
      </c>
      <c r="C124" s="137">
        <v>79940.009999999995</v>
      </c>
      <c r="D124" s="137">
        <v>79940.009999999995</v>
      </c>
      <c r="E124" s="137">
        <v>79940.009999999995</v>
      </c>
      <c r="F124" s="137">
        <v>79940.009999999995</v>
      </c>
      <c r="G124" s="137">
        <f t="shared" ref="G124:G132" si="30">D124-E124</f>
        <v>0</v>
      </c>
    </row>
    <row r="125" spans="1:7" x14ac:dyDescent="0.25">
      <c r="A125" s="74" t="s">
        <v>326</v>
      </c>
      <c r="B125" s="137">
        <v>0</v>
      </c>
      <c r="C125" s="137">
        <v>0</v>
      </c>
      <c r="D125" s="137">
        <v>0</v>
      </c>
      <c r="E125" s="137">
        <v>0</v>
      </c>
      <c r="F125" s="137">
        <v>0</v>
      </c>
      <c r="G125" s="137">
        <f t="shared" si="30"/>
        <v>0</v>
      </c>
    </row>
    <row r="126" spans="1:7" x14ac:dyDescent="0.25">
      <c r="A126" s="74" t="s">
        <v>327</v>
      </c>
      <c r="B126" s="137">
        <v>0</v>
      </c>
      <c r="C126" s="137">
        <v>0</v>
      </c>
      <c r="D126" s="137">
        <v>0</v>
      </c>
      <c r="E126" s="137">
        <v>0</v>
      </c>
      <c r="F126" s="137">
        <v>0</v>
      </c>
      <c r="G126" s="137">
        <f t="shared" si="30"/>
        <v>0</v>
      </c>
    </row>
    <row r="127" spans="1:7" x14ac:dyDescent="0.25">
      <c r="A127" s="74" t="s">
        <v>328</v>
      </c>
      <c r="B127" s="137">
        <v>0</v>
      </c>
      <c r="C127" s="137">
        <v>2374755.6</v>
      </c>
      <c r="D127" s="137">
        <v>2374755.6</v>
      </c>
      <c r="E127" s="137">
        <v>2374755.6</v>
      </c>
      <c r="F127" s="137">
        <v>2374755.6</v>
      </c>
      <c r="G127" s="137">
        <f t="shared" si="30"/>
        <v>0</v>
      </c>
    </row>
    <row r="128" spans="1:7" x14ac:dyDescent="0.25">
      <c r="A128" s="74" t="s">
        <v>329</v>
      </c>
      <c r="B128" s="137">
        <v>0</v>
      </c>
      <c r="C128" s="137">
        <v>1139499.9099999999</v>
      </c>
      <c r="D128" s="137">
        <v>1139499.9099999999</v>
      </c>
      <c r="E128" s="137">
        <v>1139499.9099999999</v>
      </c>
      <c r="F128" s="137">
        <v>1139499.9099999999</v>
      </c>
      <c r="G128" s="137">
        <f t="shared" si="30"/>
        <v>0</v>
      </c>
    </row>
    <row r="129" spans="1:7" x14ac:dyDescent="0.25">
      <c r="A129" s="74" t="s">
        <v>330</v>
      </c>
      <c r="B129" s="137">
        <v>0</v>
      </c>
      <c r="C129" s="137">
        <v>232188</v>
      </c>
      <c r="D129" s="137">
        <v>232188</v>
      </c>
      <c r="E129" s="137">
        <v>232188</v>
      </c>
      <c r="F129" s="137">
        <v>232188</v>
      </c>
      <c r="G129" s="137">
        <f t="shared" si="30"/>
        <v>0</v>
      </c>
    </row>
    <row r="130" spans="1:7" x14ac:dyDescent="0.25">
      <c r="A130" s="74" t="s">
        <v>331</v>
      </c>
      <c r="B130" s="137">
        <v>0</v>
      </c>
      <c r="C130" s="137">
        <v>0</v>
      </c>
      <c r="D130" s="137">
        <v>0</v>
      </c>
      <c r="E130" s="137">
        <v>0</v>
      </c>
      <c r="F130" s="137">
        <v>0</v>
      </c>
      <c r="G130" s="137">
        <f t="shared" si="30"/>
        <v>0</v>
      </c>
    </row>
    <row r="131" spans="1:7" x14ac:dyDescent="0.25">
      <c r="A131" s="74" t="s">
        <v>332</v>
      </c>
      <c r="B131" s="137">
        <v>0</v>
      </c>
      <c r="C131" s="137">
        <v>0</v>
      </c>
      <c r="D131" s="137">
        <v>0</v>
      </c>
      <c r="E131" s="137">
        <v>0</v>
      </c>
      <c r="F131" s="137">
        <v>0</v>
      </c>
      <c r="G131" s="137">
        <f t="shared" si="30"/>
        <v>0</v>
      </c>
    </row>
    <row r="132" spans="1:7" x14ac:dyDescent="0.25">
      <c r="A132" s="74" t="s">
        <v>333</v>
      </c>
      <c r="B132" s="137">
        <v>0</v>
      </c>
      <c r="C132" s="137">
        <v>0</v>
      </c>
      <c r="D132" s="137">
        <v>0</v>
      </c>
      <c r="E132" s="137">
        <v>0</v>
      </c>
      <c r="F132" s="137">
        <v>0</v>
      </c>
      <c r="G132" s="137">
        <f t="shared" si="30"/>
        <v>0</v>
      </c>
    </row>
    <row r="133" spans="1:7" x14ac:dyDescent="0.25">
      <c r="A133" s="73" t="s">
        <v>334</v>
      </c>
      <c r="B133" s="136">
        <f>SUM(B134:B136)</f>
        <v>83371662</v>
      </c>
      <c r="C133" s="136">
        <f t="shared" ref="C133:G133" si="31">SUM(C134:C136)</f>
        <v>44895538.18</v>
      </c>
      <c r="D133" s="136">
        <f t="shared" si="31"/>
        <v>128267200.18000001</v>
      </c>
      <c r="E133" s="136">
        <f t="shared" si="31"/>
        <v>85192972.930000007</v>
      </c>
      <c r="F133" s="136">
        <f t="shared" si="31"/>
        <v>81375847.629999995</v>
      </c>
      <c r="G133" s="136">
        <f t="shared" si="31"/>
        <v>43074227.25</v>
      </c>
    </row>
    <row r="134" spans="1:7" x14ac:dyDescent="0.25">
      <c r="A134" s="74" t="s">
        <v>335</v>
      </c>
      <c r="B134" s="137">
        <v>83371662</v>
      </c>
      <c r="C134" s="137">
        <v>44895538.18</v>
      </c>
      <c r="D134" s="137">
        <v>128267200.18000001</v>
      </c>
      <c r="E134" s="137">
        <v>85192972.930000007</v>
      </c>
      <c r="F134" s="137">
        <v>81375847.629999995</v>
      </c>
      <c r="G134" s="137">
        <f t="shared" ref="G134:G136" si="32">D134-E134</f>
        <v>43074227.25</v>
      </c>
    </row>
    <row r="135" spans="1:7" x14ac:dyDescent="0.25">
      <c r="A135" s="74" t="s">
        <v>336</v>
      </c>
      <c r="B135" s="137">
        <v>0</v>
      </c>
      <c r="C135" s="137">
        <v>0</v>
      </c>
      <c r="D135" s="137">
        <v>0</v>
      </c>
      <c r="E135" s="137">
        <v>0</v>
      </c>
      <c r="F135" s="137">
        <v>0</v>
      </c>
      <c r="G135" s="137">
        <f t="shared" si="32"/>
        <v>0</v>
      </c>
    </row>
    <row r="136" spans="1:7" x14ac:dyDescent="0.25">
      <c r="A136" s="74" t="s">
        <v>337</v>
      </c>
      <c r="B136" s="137">
        <v>0</v>
      </c>
      <c r="C136" s="137">
        <v>0</v>
      </c>
      <c r="D136" s="137">
        <v>0</v>
      </c>
      <c r="E136" s="137">
        <v>0</v>
      </c>
      <c r="F136" s="137">
        <v>0</v>
      </c>
      <c r="G136" s="137">
        <f t="shared" si="32"/>
        <v>0</v>
      </c>
    </row>
    <row r="137" spans="1:7" x14ac:dyDescent="0.25">
      <c r="A137" s="73" t="s">
        <v>338</v>
      </c>
      <c r="B137" s="70">
        <f>SUM(B138:B142,B144:B145)</f>
        <v>0</v>
      </c>
      <c r="C137" s="70">
        <f t="shared" ref="C137:G137" si="33">SUM(C138:C142,C144:C145)</f>
        <v>0</v>
      </c>
      <c r="D137" s="70">
        <f t="shared" si="33"/>
        <v>0</v>
      </c>
      <c r="E137" s="70">
        <f t="shared" si="33"/>
        <v>0</v>
      </c>
      <c r="F137" s="70">
        <f t="shared" si="33"/>
        <v>0</v>
      </c>
      <c r="G137" s="70">
        <f t="shared" si="33"/>
        <v>0</v>
      </c>
    </row>
    <row r="138" spans="1:7" x14ac:dyDescent="0.25">
      <c r="A138" s="74" t="s">
        <v>339</v>
      </c>
      <c r="B138" s="137">
        <v>0</v>
      </c>
      <c r="C138" s="137">
        <v>0</v>
      </c>
      <c r="D138" s="137">
        <v>0</v>
      </c>
      <c r="E138" s="137">
        <v>0</v>
      </c>
      <c r="F138" s="137">
        <v>0</v>
      </c>
      <c r="G138" s="137">
        <f t="shared" ref="G138:G145" si="34">D138-E138</f>
        <v>0</v>
      </c>
    </row>
    <row r="139" spans="1:7" x14ac:dyDescent="0.25">
      <c r="A139" s="74" t="s">
        <v>340</v>
      </c>
      <c r="B139" s="137">
        <v>0</v>
      </c>
      <c r="C139" s="137">
        <v>0</v>
      </c>
      <c r="D139" s="137">
        <v>0</v>
      </c>
      <c r="E139" s="137">
        <v>0</v>
      </c>
      <c r="F139" s="137">
        <v>0</v>
      </c>
      <c r="G139" s="137">
        <f t="shared" si="34"/>
        <v>0</v>
      </c>
    </row>
    <row r="140" spans="1:7" x14ac:dyDescent="0.25">
      <c r="A140" s="74" t="s">
        <v>341</v>
      </c>
      <c r="B140" s="137">
        <v>0</v>
      </c>
      <c r="C140" s="137">
        <v>0</v>
      </c>
      <c r="D140" s="137">
        <v>0</v>
      </c>
      <c r="E140" s="137">
        <v>0</v>
      </c>
      <c r="F140" s="137">
        <v>0</v>
      </c>
      <c r="G140" s="137">
        <f t="shared" si="34"/>
        <v>0</v>
      </c>
    </row>
    <row r="141" spans="1:7" x14ac:dyDescent="0.25">
      <c r="A141" s="74" t="s">
        <v>342</v>
      </c>
      <c r="B141" s="137">
        <v>0</v>
      </c>
      <c r="C141" s="137">
        <v>0</v>
      </c>
      <c r="D141" s="137">
        <v>0</v>
      </c>
      <c r="E141" s="137">
        <v>0</v>
      </c>
      <c r="F141" s="137">
        <v>0</v>
      </c>
      <c r="G141" s="137">
        <f t="shared" si="34"/>
        <v>0</v>
      </c>
    </row>
    <row r="142" spans="1:7" x14ac:dyDescent="0.25">
      <c r="A142" s="74" t="s">
        <v>343</v>
      </c>
      <c r="B142" s="137">
        <v>0</v>
      </c>
      <c r="C142" s="137">
        <v>0</v>
      </c>
      <c r="D142" s="137">
        <v>0</v>
      </c>
      <c r="E142" s="137">
        <v>0</v>
      </c>
      <c r="F142" s="137">
        <v>0</v>
      </c>
      <c r="G142" s="137">
        <f t="shared" si="34"/>
        <v>0</v>
      </c>
    </row>
    <row r="143" spans="1:7" x14ac:dyDescent="0.25">
      <c r="A143" s="74" t="s">
        <v>3293</v>
      </c>
      <c r="B143" s="137">
        <v>0</v>
      </c>
      <c r="C143" s="137">
        <v>0</v>
      </c>
      <c r="D143" s="137">
        <v>0</v>
      </c>
      <c r="E143" s="137">
        <v>0</v>
      </c>
      <c r="F143" s="137">
        <v>0</v>
      </c>
      <c r="G143" s="137">
        <f t="shared" si="34"/>
        <v>0</v>
      </c>
    </row>
    <row r="144" spans="1:7" x14ac:dyDescent="0.25">
      <c r="A144" s="74" t="s">
        <v>345</v>
      </c>
      <c r="B144" s="137">
        <v>0</v>
      </c>
      <c r="C144" s="137">
        <v>0</v>
      </c>
      <c r="D144" s="137">
        <v>0</v>
      </c>
      <c r="E144" s="137">
        <v>0</v>
      </c>
      <c r="F144" s="137">
        <v>0</v>
      </c>
      <c r="G144" s="137">
        <f t="shared" si="34"/>
        <v>0</v>
      </c>
    </row>
    <row r="145" spans="1:7" x14ac:dyDescent="0.25">
      <c r="A145" s="74" t="s">
        <v>346</v>
      </c>
      <c r="B145" s="137">
        <v>0</v>
      </c>
      <c r="C145" s="137">
        <v>0</v>
      </c>
      <c r="D145" s="137">
        <v>0</v>
      </c>
      <c r="E145" s="137">
        <v>0</v>
      </c>
      <c r="F145" s="137">
        <v>0</v>
      </c>
      <c r="G145" s="137">
        <f t="shared" si="34"/>
        <v>0</v>
      </c>
    </row>
    <row r="146" spans="1:7" x14ac:dyDescent="0.25">
      <c r="A146" s="73" t="s">
        <v>347</v>
      </c>
      <c r="B146" s="136">
        <f>SUM(B147:B149)</f>
        <v>0</v>
      </c>
      <c r="C146" s="136">
        <f t="shared" ref="C146:G146" si="35">SUM(C147:C149)</f>
        <v>3028919.76</v>
      </c>
      <c r="D146" s="136">
        <f t="shared" si="35"/>
        <v>3028919.76</v>
      </c>
      <c r="E146" s="136">
        <f t="shared" si="35"/>
        <v>3028919.76</v>
      </c>
      <c r="F146" s="136">
        <f t="shared" si="35"/>
        <v>3028919.76</v>
      </c>
      <c r="G146" s="136">
        <f t="shared" si="35"/>
        <v>0</v>
      </c>
    </row>
    <row r="147" spans="1:7" x14ac:dyDescent="0.25">
      <c r="A147" s="74" t="s">
        <v>348</v>
      </c>
      <c r="B147" s="137">
        <v>0</v>
      </c>
      <c r="C147" s="137">
        <v>0</v>
      </c>
      <c r="D147" s="137">
        <v>0</v>
      </c>
      <c r="E147" s="137">
        <v>0</v>
      </c>
      <c r="F147" s="137">
        <v>0</v>
      </c>
      <c r="G147" s="137">
        <f t="shared" ref="G147:G149" si="36">D147-E147</f>
        <v>0</v>
      </c>
    </row>
    <row r="148" spans="1:7" x14ac:dyDescent="0.25">
      <c r="A148" s="74" t="s">
        <v>349</v>
      </c>
      <c r="B148" s="137">
        <v>0</v>
      </c>
      <c r="C148" s="137">
        <v>0</v>
      </c>
      <c r="D148" s="137">
        <v>0</v>
      </c>
      <c r="E148" s="137">
        <v>0</v>
      </c>
      <c r="F148" s="137">
        <v>0</v>
      </c>
      <c r="G148" s="137">
        <f t="shared" si="36"/>
        <v>0</v>
      </c>
    </row>
    <row r="149" spans="1:7" x14ac:dyDescent="0.25">
      <c r="A149" s="74" t="s">
        <v>350</v>
      </c>
      <c r="B149" s="137">
        <v>0</v>
      </c>
      <c r="C149" s="137">
        <v>3028919.76</v>
      </c>
      <c r="D149" s="137">
        <v>3028919.76</v>
      </c>
      <c r="E149" s="137">
        <v>3028919.76</v>
      </c>
      <c r="F149" s="137">
        <v>3028919.76</v>
      </c>
      <c r="G149" s="137">
        <f t="shared" si="36"/>
        <v>0</v>
      </c>
    </row>
    <row r="150" spans="1:7" x14ac:dyDescent="0.25">
      <c r="A150" s="73" t="s">
        <v>351</v>
      </c>
      <c r="B150" s="136">
        <f>SUM(B151:B157)</f>
        <v>5589212.2000000002</v>
      </c>
      <c r="C150" s="136">
        <f t="shared" ref="C150:G150" si="37">SUM(C151:C157)</f>
        <v>-795885.23</v>
      </c>
      <c r="D150" s="136">
        <f t="shared" si="37"/>
        <v>4793326.97</v>
      </c>
      <c r="E150" s="136">
        <f t="shared" si="37"/>
        <v>4793326.97</v>
      </c>
      <c r="F150" s="136">
        <f t="shared" si="37"/>
        <v>4793326.97</v>
      </c>
      <c r="G150" s="136">
        <f t="shared" si="37"/>
        <v>0</v>
      </c>
    </row>
    <row r="151" spans="1:7" x14ac:dyDescent="0.25">
      <c r="A151" s="74" t="s">
        <v>352</v>
      </c>
      <c r="B151" s="137">
        <v>3744000</v>
      </c>
      <c r="C151" s="137">
        <v>0</v>
      </c>
      <c r="D151" s="137">
        <v>3744000</v>
      </c>
      <c r="E151" s="137">
        <v>3744000</v>
      </c>
      <c r="F151" s="137">
        <v>3744000</v>
      </c>
      <c r="G151" s="137">
        <f t="shared" ref="G151:G157" si="38">D151-E151</f>
        <v>0</v>
      </c>
    </row>
    <row r="152" spans="1:7" x14ac:dyDescent="0.25">
      <c r="A152" s="74" t="s">
        <v>353</v>
      </c>
      <c r="B152" s="137">
        <v>1845212.2</v>
      </c>
      <c r="C152" s="137">
        <v>-795885.23</v>
      </c>
      <c r="D152" s="137">
        <v>1049326.97</v>
      </c>
      <c r="E152" s="137">
        <v>1049326.97</v>
      </c>
      <c r="F152" s="137">
        <v>1049326.97</v>
      </c>
      <c r="G152" s="137">
        <f t="shared" si="38"/>
        <v>0</v>
      </c>
    </row>
    <row r="153" spans="1:7" x14ac:dyDescent="0.25">
      <c r="A153" s="74" t="s">
        <v>354</v>
      </c>
      <c r="B153" s="137">
        <v>0</v>
      </c>
      <c r="C153" s="137">
        <v>0</v>
      </c>
      <c r="D153" s="137">
        <v>0</v>
      </c>
      <c r="E153" s="137">
        <v>0</v>
      </c>
      <c r="F153" s="137">
        <v>0</v>
      </c>
      <c r="G153" s="137">
        <f t="shared" si="38"/>
        <v>0</v>
      </c>
    </row>
    <row r="154" spans="1:7" x14ac:dyDescent="0.25">
      <c r="A154" s="40" t="s">
        <v>355</v>
      </c>
      <c r="B154" s="137">
        <v>0</v>
      </c>
      <c r="C154" s="137">
        <v>0</v>
      </c>
      <c r="D154" s="137">
        <v>0</v>
      </c>
      <c r="E154" s="137">
        <v>0</v>
      </c>
      <c r="F154" s="137">
        <v>0</v>
      </c>
      <c r="G154" s="137">
        <f t="shared" si="38"/>
        <v>0</v>
      </c>
    </row>
    <row r="155" spans="1:7" x14ac:dyDescent="0.25">
      <c r="A155" s="74" t="s">
        <v>356</v>
      </c>
      <c r="B155" s="137">
        <v>0</v>
      </c>
      <c r="C155" s="137">
        <v>0</v>
      </c>
      <c r="D155" s="137">
        <v>0</v>
      </c>
      <c r="E155" s="137">
        <v>0</v>
      </c>
      <c r="F155" s="137">
        <v>0</v>
      </c>
      <c r="G155" s="137">
        <f t="shared" si="38"/>
        <v>0</v>
      </c>
    </row>
    <row r="156" spans="1:7" x14ac:dyDescent="0.25">
      <c r="A156" s="74" t="s">
        <v>357</v>
      </c>
      <c r="B156" s="137">
        <v>0</v>
      </c>
      <c r="C156" s="137">
        <v>0</v>
      </c>
      <c r="D156" s="137">
        <v>0</v>
      </c>
      <c r="E156" s="137">
        <v>0</v>
      </c>
      <c r="F156" s="137">
        <v>0</v>
      </c>
      <c r="G156" s="137">
        <f t="shared" si="38"/>
        <v>0</v>
      </c>
    </row>
    <row r="157" spans="1:7" x14ac:dyDescent="0.25">
      <c r="A157" s="74" t="s">
        <v>358</v>
      </c>
      <c r="B157" s="137">
        <v>0</v>
      </c>
      <c r="C157" s="137">
        <v>0</v>
      </c>
      <c r="D157" s="137">
        <v>0</v>
      </c>
      <c r="E157" s="137">
        <v>0</v>
      </c>
      <c r="F157" s="137">
        <v>0</v>
      </c>
      <c r="G157" s="137">
        <f t="shared" si="38"/>
        <v>0</v>
      </c>
    </row>
    <row r="158" spans="1:7" x14ac:dyDescent="0.25">
      <c r="A158" s="41"/>
      <c r="B158" s="71"/>
      <c r="C158" s="71"/>
      <c r="D158" s="71"/>
      <c r="E158" s="71"/>
      <c r="F158" s="71"/>
      <c r="G158" s="71"/>
    </row>
    <row r="159" spans="1:7" x14ac:dyDescent="0.25">
      <c r="A159" s="42" t="s">
        <v>360</v>
      </c>
      <c r="B159" s="136">
        <f>B9+B84</f>
        <v>594106494.11999989</v>
      </c>
      <c r="C159" s="136">
        <f t="shared" ref="C159:G159" si="39">C9+C84</f>
        <v>186544322.31999999</v>
      </c>
      <c r="D159" s="136">
        <f t="shared" si="39"/>
        <v>780650816.44000006</v>
      </c>
      <c r="E159" s="136">
        <f t="shared" si="39"/>
        <v>732514139.65999997</v>
      </c>
      <c r="F159" s="136">
        <f t="shared" si="39"/>
        <v>662937576</v>
      </c>
      <c r="G159" s="136">
        <f t="shared" si="39"/>
        <v>48136676.780000001</v>
      </c>
    </row>
    <row r="160" spans="1:7" x14ac:dyDescent="0.25">
      <c r="A160" s="63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382446509.11999995</v>
      </c>
      <c r="Q2" s="18">
        <f>'Formato 6 a)'!C9</f>
        <v>110308871.13999999</v>
      </c>
      <c r="R2" s="18">
        <f>'Formato 6 a)'!D9</f>
        <v>492755380.25999993</v>
      </c>
      <c r="S2" s="18">
        <f>'Formato 6 a)'!E9</f>
        <v>488685000.51999992</v>
      </c>
      <c r="T2" s="18">
        <f>'Formato 6 a)'!F9</f>
        <v>423906269.68000001</v>
      </c>
      <c r="U2" s="18">
        <f>'Formato 6 a)'!G9</f>
        <v>4070379.7399999984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150050373.59999996</v>
      </c>
      <c r="Q3" s="18">
        <f>'Formato 6 a)'!C10</f>
        <v>49658729.029999994</v>
      </c>
      <c r="R3" s="18">
        <f>'Formato 6 a)'!D10</f>
        <v>199709102.63</v>
      </c>
      <c r="S3" s="18">
        <f>'Formato 6 a)'!E10</f>
        <v>199709102.63</v>
      </c>
      <c r="T3" s="18">
        <f>'Formato 6 a)'!F10</f>
        <v>190902787.39000002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70335287.849999994</v>
      </c>
      <c r="Q4" s="18">
        <f>'Formato 6 a)'!C11</f>
        <v>-12392672.199999999</v>
      </c>
      <c r="R4" s="18">
        <f>'Formato 6 a)'!D11</f>
        <v>57942615.649999999</v>
      </c>
      <c r="S4" s="18">
        <f>'Formato 6 a)'!E11</f>
        <v>57942615.649999999</v>
      </c>
      <c r="T4" s="18">
        <f>'Formato 6 a)'!F11</f>
        <v>57942615.649999999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22483175.949999999</v>
      </c>
      <c r="Q5" s="18">
        <f>'Formato 6 a)'!C12</f>
        <v>69169166.269999996</v>
      </c>
      <c r="R5" s="18">
        <f>'Formato 6 a)'!D12</f>
        <v>91652342.219999999</v>
      </c>
      <c r="S5" s="18">
        <f>'Formato 6 a)'!E12</f>
        <v>91652342.219999999</v>
      </c>
      <c r="T5" s="18">
        <f>'Formato 6 a)'!F12</f>
        <v>91652342.219999999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20550879.399999999</v>
      </c>
      <c r="Q6" s="18">
        <f>'Formato 6 a)'!C13</f>
        <v>-984903.05</v>
      </c>
      <c r="R6" s="18">
        <f>'Formato 6 a)'!D13</f>
        <v>19565976.350000001</v>
      </c>
      <c r="S6" s="18">
        <f>'Formato 6 a)'!E13</f>
        <v>19565976.350000001</v>
      </c>
      <c r="T6" s="18">
        <f>'Formato 6 a)'!F13</f>
        <v>10759661.109999999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1015940.24</v>
      </c>
      <c r="Q7" s="18">
        <f>'Formato 6 a)'!C14</f>
        <v>-22762.560000000001</v>
      </c>
      <c r="R7" s="18">
        <f>'Formato 6 a)'!D14</f>
        <v>993177.68</v>
      </c>
      <c r="S7" s="18">
        <f>'Formato 6 a)'!E14</f>
        <v>993177.68</v>
      </c>
      <c r="T7" s="18">
        <f>'Formato 6 a)'!F14</f>
        <v>993177.68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35665090.159999996</v>
      </c>
      <c r="Q8" s="18">
        <f>'Formato 6 a)'!C15</f>
        <v>-6110099.4299999997</v>
      </c>
      <c r="R8" s="18">
        <f>'Formato 6 a)'!D15</f>
        <v>29554990.73</v>
      </c>
      <c r="S8" s="18">
        <f>'Formato 6 a)'!E15</f>
        <v>29554990.73</v>
      </c>
      <c r="T8" s="18">
        <f>'Formato 6 a)'!F15</f>
        <v>29554990.73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39220511</v>
      </c>
      <c r="Q11" s="18">
        <f>'Formato 6 a)'!C18</f>
        <v>6370747.6099999994</v>
      </c>
      <c r="R11" s="18">
        <f>'Formato 6 a)'!D18</f>
        <v>45591258.609999999</v>
      </c>
      <c r="S11" s="18">
        <f>'Formato 6 a)'!E18</f>
        <v>44002942.949999996</v>
      </c>
      <c r="T11" s="18">
        <f>'Formato 6 a)'!F18</f>
        <v>38710533.590000004</v>
      </c>
      <c r="U11" s="18">
        <f>'Formato 6 a)'!G18</f>
        <v>1588315.6600000011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6130861</v>
      </c>
      <c r="Q12" s="18">
        <f>'Formato 6 a)'!C19</f>
        <v>118811.75</v>
      </c>
      <c r="R12" s="18">
        <f>'Formato 6 a)'!D19</f>
        <v>6249672.75</v>
      </c>
      <c r="S12" s="18">
        <f>'Formato 6 a)'!E19</f>
        <v>5417799.04</v>
      </c>
      <c r="T12" s="18">
        <f>'Formato 6 a)'!F19</f>
        <v>4091314.4</v>
      </c>
      <c r="U12" s="18">
        <f>'Formato 6 a)'!G19</f>
        <v>831873.71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2141750</v>
      </c>
      <c r="Q13" s="18">
        <f>'Formato 6 a)'!C20</f>
        <v>296791.67</v>
      </c>
      <c r="R13" s="18">
        <f>'Formato 6 a)'!D20</f>
        <v>2438541.67</v>
      </c>
      <c r="S13" s="18">
        <f>'Formato 6 a)'!E20</f>
        <v>2176202.9900000002</v>
      </c>
      <c r="T13" s="18">
        <f>'Formato 6 a)'!F20</f>
        <v>2052504.59</v>
      </c>
      <c r="U13" s="18">
        <f>'Formato 6 a)'!G20</f>
        <v>262338.6799999997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80000</v>
      </c>
      <c r="Q14" s="18">
        <f>'Formato 6 a)'!C21</f>
        <v>50000</v>
      </c>
      <c r="R14" s="18">
        <f>'Formato 6 a)'!D21</f>
        <v>130000</v>
      </c>
      <c r="S14" s="18">
        <f>'Formato 6 a)'!E21</f>
        <v>125967.71</v>
      </c>
      <c r="T14" s="18">
        <f>'Formato 6 a)'!F21</f>
        <v>125967.71</v>
      </c>
      <c r="U14" s="18">
        <f>'Formato 6 a)'!G21</f>
        <v>4032.2899999999936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3896200</v>
      </c>
      <c r="Q15" s="18">
        <f>'Formato 6 a)'!C22</f>
        <v>244185.3</v>
      </c>
      <c r="R15" s="18">
        <f>'Formato 6 a)'!D22</f>
        <v>4140385.3</v>
      </c>
      <c r="S15" s="18">
        <f>'Formato 6 a)'!E22</f>
        <v>3999488.86</v>
      </c>
      <c r="T15" s="18">
        <f>'Formato 6 a)'!F22</f>
        <v>3603510.17</v>
      </c>
      <c r="U15" s="18">
        <f>'Formato 6 a)'!G22</f>
        <v>140896.43999999994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17175500</v>
      </c>
      <c r="Q16" s="18">
        <f>'Formato 6 a)'!C23</f>
        <v>4648775.21</v>
      </c>
      <c r="R16" s="18">
        <f>'Formato 6 a)'!D23</f>
        <v>21824275.210000001</v>
      </c>
      <c r="S16" s="18">
        <f>'Formato 6 a)'!E23</f>
        <v>21773778.489999998</v>
      </c>
      <c r="T16" s="18">
        <f>'Formato 6 a)'!F23</f>
        <v>19177414.890000001</v>
      </c>
      <c r="U16" s="18">
        <f>'Formato 6 a)'!G23</f>
        <v>50496.720000002533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6870600</v>
      </c>
      <c r="Q17" s="18">
        <f>'Formato 6 a)'!C24</f>
        <v>1641747.54</v>
      </c>
      <c r="R17" s="18">
        <f>'Formato 6 a)'!D24</f>
        <v>8512347.5399999991</v>
      </c>
      <c r="S17" s="18">
        <f>'Formato 6 a)'!E24</f>
        <v>8436186.4900000002</v>
      </c>
      <c r="T17" s="18">
        <f>'Formato 6 a)'!F24</f>
        <v>8225986.0199999996</v>
      </c>
      <c r="U17" s="18">
        <f>'Formato 6 a)'!G24</f>
        <v>76161.049999998882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2150600</v>
      </c>
      <c r="Q18" s="18">
        <f>'Formato 6 a)'!C25</f>
        <v>-568382.28</v>
      </c>
      <c r="R18" s="18">
        <f>'Formato 6 a)'!D25</f>
        <v>1582217.72</v>
      </c>
      <c r="S18" s="18">
        <f>'Formato 6 a)'!E25</f>
        <v>1438885.89</v>
      </c>
      <c r="T18" s="18">
        <f>'Formato 6 a)'!F25</f>
        <v>1015906.74</v>
      </c>
      <c r="U18" s="18">
        <f>'Formato 6 a)'!G25</f>
        <v>143331.83000000007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60000</v>
      </c>
      <c r="Q19" s="18">
        <f>'Formato 6 a)'!C26</f>
        <v>147852</v>
      </c>
      <c r="R19" s="18">
        <f>'Formato 6 a)'!D26</f>
        <v>207852</v>
      </c>
      <c r="S19" s="18">
        <f>'Formato 6 a)'!E26</f>
        <v>197852</v>
      </c>
      <c r="T19" s="18">
        <f>'Formato 6 a)'!F26</f>
        <v>46052</v>
      </c>
      <c r="U19" s="18">
        <f>'Formato 6 a)'!G26</f>
        <v>10000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715000</v>
      </c>
      <c r="Q20" s="18">
        <f>'Formato 6 a)'!C27</f>
        <v>-209033.58</v>
      </c>
      <c r="R20" s="18">
        <f>'Formato 6 a)'!D27</f>
        <v>505966.42</v>
      </c>
      <c r="S20" s="18">
        <f>'Formato 6 a)'!E27</f>
        <v>436781.48</v>
      </c>
      <c r="T20" s="18">
        <f>'Formato 6 a)'!F27</f>
        <v>371877.07</v>
      </c>
      <c r="U20" s="18">
        <f>'Formato 6 a)'!G27</f>
        <v>69184.94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109194597.07000001</v>
      </c>
      <c r="Q21" s="18">
        <f>'Formato 6 a)'!C28</f>
        <v>44707757.639999993</v>
      </c>
      <c r="R21" s="18">
        <f>'Formato 6 a)'!D28</f>
        <v>153902354.70999998</v>
      </c>
      <c r="S21" s="18">
        <f>'Formato 6 a)'!E28</f>
        <v>152617694.25</v>
      </c>
      <c r="T21" s="18">
        <f>'Formato 6 a)'!F28</f>
        <v>107627783.72999999</v>
      </c>
      <c r="U21" s="18">
        <f>'Formato 6 a)'!G28</f>
        <v>1284660.4599999972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10424200</v>
      </c>
      <c r="Q22" s="18">
        <f>'Formato 6 a)'!C29</f>
        <v>13284082.300000001</v>
      </c>
      <c r="R22" s="18">
        <f>'Formato 6 a)'!D29</f>
        <v>23708282.300000001</v>
      </c>
      <c r="S22" s="18">
        <f>'Formato 6 a)'!E29</f>
        <v>23312251.300000001</v>
      </c>
      <c r="T22" s="18">
        <f>'Formato 6 a)'!F29</f>
        <v>20767249.879999999</v>
      </c>
      <c r="U22" s="18">
        <f>'Formato 6 a)'!G29</f>
        <v>396031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10841062.4</v>
      </c>
      <c r="Q23" s="18">
        <f>'Formato 6 a)'!C30</f>
        <v>1622835.75</v>
      </c>
      <c r="R23" s="18">
        <f>'Formato 6 a)'!D30</f>
        <v>12463898.15</v>
      </c>
      <c r="S23" s="18">
        <f>'Formato 6 a)'!E30</f>
        <v>12386762.029999999</v>
      </c>
      <c r="T23" s="18">
        <f>'Formato 6 a)'!F30</f>
        <v>9168935.3100000005</v>
      </c>
      <c r="U23" s="18">
        <f>'Formato 6 a)'!G30</f>
        <v>77136.120000001043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10648000</v>
      </c>
      <c r="Q24" s="18">
        <f>'Formato 6 a)'!C31</f>
        <v>1459345.78</v>
      </c>
      <c r="R24" s="18">
        <f>'Formato 6 a)'!D31</f>
        <v>12107345.779999999</v>
      </c>
      <c r="S24" s="18">
        <f>'Formato 6 a)'!E31</f>
        <v>12073087.02</v>
      </c>
      <c r="T24" s="18">
        <f>'Formato 6 a)'!F31</f>
        <v>7993552.6799999997</v>
      </c>
      <c r="U24" s="18">
        <f>'Formato 6 a)'!G31</f>
        <v>34258.759999999776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2680000</v>
      </c>
      <c r="Q25" s="18">
        <f>'Formato 6 a)'!C32</f>
        <v>-595001.69999999995</v>
      </c>
      <c r="R25" s="18">
        <f>'Formato 6 a)'!D32</f>
        <v>2084998.3</v>
      </c>
      <c r="S25" s="18">
        <f>'Formato 6 a)'!E32</f>
        <v>2075144.67</v>
      </c>
      <c r="T25" s="18">
        <f>'Formato 6 a)'!F32</f>
        <v>2046144.67</v>
      </c>
      <c r="U25" s="18">
        <f>'Formato 6 a)'!G32</f>
        <v>9853.6300000001211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26244000</v>
      </c>
      <c r="Q26" s="18">
        <f>'Formato 6 a)'!C33</f>
        <v>24221885.02</v>
      </c>
      <c r="R26" s="18">
        <f>'Formato 6 a)'!D33</f>
        <v>50465885.020000003</v>
      </c>
      <c r="S26" s="18">
        <f>'Formato 6 a)'!E33</f>
        <v>50318265.780000001</v>
      </c>
      <c r="T26" s="18">
        <f>'Formato 6 a)'!F33</f>
        <v>37940897.049999997</v>
      </c>
      <c r="U26" s="18">
        <f>'Formato 6 a)'!G33</f>
        <v>147619.24000000209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6610000</v>
      </c>
      <c r="Q27" s="18">
        <f>'Formato 6 a)'!C34</f>
        <v>-93220.09</v>
      </c>
      <c r="R27" s="18">
        <f>'Formato 6 a)'!D34</f>
        <v>6516779.9100000001</v>
      </c>
      <c r="S27" s="18">
        <f>'Formato 6 a)'!E34</f>
        <v>6516779.9100000001</v>
      </c>
      <c r="T27" s="18">
        <f>'Formato 6 a)'!F34</f>
        <v>3753752.01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1110200</v>
      </c>
      <c r="Q28" s="18">
        <f>'Formato 6 a)'!C35</f>
        <v>-745174.43</v>
      </c>
      <c r="R28" s="18">
        <f>'Formato 6 a)'!D35</f>
        <v>365025.57</v>
      </c>
      <c r="S28" s="18">
        <f>'Formato 6 a)'!E35</f>
        <v>191110.85</v>
      </c>
      <c r="T28" s="18">
        <f>'Formato 6 a)'!F35</f>
        <v>191110.85</v>
      </c>
      <c r="U28" s="18">
        <f>'Formato 6 a)'!G35</f>
        <v>173914.72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12151000</v>
      </c>
      <c r="Q29" s="18">
        <f>'Formato 6 a)'!C36</f>
        <v>-7955457.8700000001</v>
      </c>
      <c r="R29" s="18">
        <f>'Formato 6 a)'!D36</f>
        <v>4195542.13</v>
      </c>
      <c r="S29" s="18">
        <f>'Formato 6 a)'!E36</f>
        <v>4041651.56</v>
      </c>
      <c r="T29" s="18">
        <f>'Formato 6 a)'!F36</f>
        <v>3237105.1</v>
      </c>
      <c r="U29" s="18">
        <f>'Formato 6 a)'!G36</f>
        <v>153890.56999999983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28486134.670000002</v>
      </c>
      <c r="Q30" s="18">
        <f>'Formato 6 a)'!C37</f>
        <v>13508462.880000001</v>
      </c>
      <c r="R30" s="18">
        <f>'Formato 6 a)'!D37</f>
        <v>41994597.549999997</v>
      </c>
      <c r="S30" s="18">
        <f>'Formato 6 a)'!E37</f>
        <v>41702641.130000003</v>
      </c>
      <c r="T30" s="18">
        <f>'Formato 6 a)'!F37</f>
        <v>22529036.18</v>
      </c>
      <c r="U30" s="18">
        <f>'Formato 6 a)'!G37</f>
        <v>291956.41999999434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43573527.449999996</v>
      </c>
      <c r="Q31" s="18">
        <f>'Formato 6 a)'!C38</f>
        <v>10411585.400000002</v>
      </c>
      <c r="R31" s="18">
        <f>'Formato 6 a)'!D38</f>
        <v>53985112.849999994</v>
      </c>
      <c r="S31" s="18">
        <f>'Formato 6 a)'!E38</f>
        <v>52979416.849999994</v>
      </c>
      <c r="T31" s="18">
        <f>'Formato 6 a)'!F38</f>
        <v>51379800.790000007</v>
      </c>
      <c r="U31" s="18">
        <f>'Formato 6 a)'!G38</f>
        <v>1005696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26000000</v>
      </c>
      <c r="Q32" s="18">
        <f>'Formato 6 a)'!C39</f>
        <v>720172.54</v>
      </c>
      <c r="R32" s="18">
        <f>'Formato 6 a)'!D39</f>
        <v>26720172.539999999</v>
      </c>
      <c r="S32" s="18">
        <f>'Formato 6 a)'!E39</f>
        <v>26720172.539999999</v>
      </c>
      <c r="T32" s="18">
        <f>'Formato 6 a)'!F39</f>
        <v>26720172.539999999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3500000</v>
      </c>
      <c r="Q34" s="18">
        <f>'Formato 6 a)'!C41</f>
        <v>6215863.29</v>
      </c>
      <c r="R34" s="18">
        <f>'Formato 6 a)'!D41</f>
        <v>9715863.2899999991</v>
      </c>
      <c r="S34" s="18">
        <f>'Formato 6 a)'!E41</f>
        <v>8710167.2899999991</v>
      </c>
      <c r="T34" s="18">
        <f>'Formato 6 a)'!F41</f>
        <v>8178146.4100000001</v>
      </c>
      <c r="U34" s="18">
        <f>'Formato 6 a)'!G41</f>
        <v>1005696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7877713.0499999998</v>
      </c>
      <c r="Q35" s="18">
        <f>'Formato 6 a)'!C42</f>
        <v>5543205.8600000003</v>
      </c>
      <c r="R35" s="18">
        <f>'Formato 6 a)'!D42</f>
        <v>13420918.91</v>
      </c>
      <c r="S35" s="18">
        <f>'Formato 6 a)'!E42</f>
        <v>13420918.91</v>
      </c>
      <c r="T35" s="18">
        <f>'Formato 6 a)'!F42</f>
        <v>12353323.73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6195814.4000000004</v>
      </c>
      <c r="Q36" s="18">
        <f>'Formato 6 a)'!C43</f>
        <v>-2067656.29</v>
      </c>
      <c r="R36" s="18">
        <f>'Formato 6 a)'!D43</f>
        <v>4128158.11</v>
      </c>
      <c r="S36" s="18">
        <f>'Formato 6 a)'!E43</f>
        <v>4128158.11</v>
      </c>
      <c r="T36" s="18">
        <f>'Formato 6 a)'!F43</f>
        <v>4128158.11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1257500</v>
      </c>
      <c r="Q41" s="18">
        <f>'Formato 6 a)'!C48</f>
        <v>2107967.5</v>
      </c>
      <c r="R41" s="18">
        <f>'Formato 6 a)'!D48</f>
        <v>3365467.5</v>
      </c>
      <c r="S41" s="18">
        <f>'Formato 6 a)'!E48</f>
        <v>3251247.71</v>
      </c>
      <c r="T41" s="18">
        <f>'Formato 6 a)'!F48</f>
        <v>2613073.71</v>
      </c>
      <c r="U41" s="18">
        <f>'Formato 6 a)'!G48</f>
        <v>114219.79000000018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567500</v>
      </c>
      <c r="Q42" s="18">
        <f>'Formato 6 a)'!C49</f>
        <v>411734.03</v>
      </c>
      <c r="R42" s="18">
        <f>'Formato 6 a)'!D49</f>
        <v>979234.03</v>
      </c>
      <c r="S42" s="18">
        <f>'Formato 6 a)'!E49</f>
        <v>907623.45</v>
      </c>
      <c r="T42" s="18">
        <f>'Formato 6 a)'!F49</f>
        <v>839668.33</v>
      </c>
      <c r="U42" s="18">
        <f>'Formato 6 a)'!G49</f>
        <v>71610.580000000075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8216.1</v>
      </c>
      <c r="R46" s="18">
        <f>'Formato 6 a)'!D53</f>
        <v>8216.1</v>
      </c>
      <c r="S46" s="18">
        <f>'Formato 6 a)'!E53</f>
        <v>0</v>
      </c>
      <c r="T46" s="18">
        <f>'Formato 6 a)'!F53</f>
        <v>0</v>
      </c>
      <c r="U46" s="18">
        <f>'Formato 6 a)'!G53</f>
        <v>8216.1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440000</v>
      </c>
      <c r="Q47" s="18">
        <f>'Formato 6 a)'!C54</f>
        <v>682159.61</v>
      </c>
      <c r="R47" s="18">
        <f>'Formato 6 a)'!D54</f>
        <v>1122159.6100000001</v>
      </c>
      <c r="S47" s="18">
        <f>'Formato 6 a)'!E54</f>
        <v>1087766.5</v>
      </c>
      <c r="T47" s="18">
        <f>'Formato 6 a)'!F54</f>
        <v>1087766.5</v>
      </c>
      <c r="U47" s="18">
        <f>'Formato 6 a)'!G54</f>
        <v>34393.110000000102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250000</v>
      </c>
      <c r="Q50" s="18">
        <f>'Formato 6 a)'!C57</f>
        <v>1005857.76</v>
      </c>
      <c r="R50" s="18">
        <f>'Formato 6 a)'!D57</f>
        <v>1255857.76</v>
      </c>
      <c r="S50" s="18">
        <f>'Formato 6 a)'!E57</f>
        <v>1255857.76</v>
      </c>
      <c r="T50" s="18">
        <f>'Formato 6 a)'!F57</f>
        <v>685638.88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2500000</v>
      </c>
      <c r="Q51" s="18">
        <f>'Formato 6 a)'!C58</f>
        <v>2739698.63</v>
      </c>
      <c r="R51" s="18">
        <f>'Formato 6 a)'!D58</f>
        <v>5239698.63</v>
      </c>
      <c r="S51" s="18">
        <f>'Formato 6 a)'!E58</f>
        <v>5183210.8</v>
      </c>
      <c r="T51" s="18">
        <f>'Formato 6 a)'!F58</f>
        <v>1730905.14</v>
      </c>
      <c r="U51" s="18">
        <f>'Formato 6 a)'!G58</f>
        <v>56487.830000000075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2500000</v>
      </c>
      <c r="Q52" s="18">
        <f>'Formato 6 a)'!C59</f>
        <v>2739698.63</v>
      </c>
      <c r="R52" s="18">
        <f>'Formato 6 a)'!D59</f>
        <v>5239698.63</v>
      </c>
      <c r="S52" s="18">
        <f>'Formato 6 a)'!E59</f>
        <v>5183210.8</v>
      </c>
      <c r="T52" s="18">
        <f>'Formato 6 a)'!F59</f>
        <v>1730905.14</v>
      </c>
      <c r="U52" s="18">
        <f>'Formato 6 a)'!G59</f>
        <v>56487.830000000075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3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5650000</v>
      </c>
      <c r="Q64" s="18">
        <f>'Formato 6 a)'!C71</f>
        <v>-4984200</v>
      </c>
      <c r="R64" s="18">
        <f>'Formato 6 a)'!D71</f>
        <v>665800</v>
      </c>
      <c r="S64" s="18">
        <f>'Formato 6 a)'!E71</f>
        <v>644800</v>
      </c>
      <c r="T64" s="18">
        <f>'Formato 6 a)'!F71</f>
        <v>644800</v>
      </c>
      <c r="U64" s="18">
        <f>'Formato 6 a)'!G71</f>
        <v>21000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5650000</v>
      </c>
      <c r="Q67" s="18">
        <f>'Formato 6 a)'!C74</f>
        <v>-4984200</v>
      </c>
      <c r="R67" s="18">
        <f>'Formato 6 a)'!D74</f>
        <v>665800</v>
      </c>
      <c r="S67" s="18">
        <f>'Formato 6 a)'!E74</f>
        <v>644800</v>
      </c>
      <c r="T67" s="18">
        <f>'Formato 6 a)'!F74</f>
        <v>644800</v>
      </c>
      <c r="U67" s="18">
        <f>'Formato 6 a)'!G74</f>
        <v>21000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31000000</v>
      </c>
      <c r="Q68" s="18">
        <f>'Formato 6 a)'!C75</f>
        <v>-703414.67</v>
      </c>
      <c r="R68" s="18">
        <f>'Formato 6 a)'!D75</f>
        <v>30296585.329999998</v>
      </c>
      <c r="S68" s="18">
        <f>'Formato 6 a)'!E75</f>
        <v>30296585.329999998</v>
      </c>
      <c r="T68" s="18">
        <f>'Formato 6 a)'!F75</f>
        <v>30296585.329999998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29000000</v>
      </c>
      <c r="Q69" s="18" t="str">
        <f>'Formato 6 a)'!C76</f>
        <v xml:space="preserve">                                          -  </v>
      </c>
      <c r="R69" s="18">
        <f>'Formato 6 a)'!D76</f>
        <v>29000000</v>
      </c>
      <c r="S69" s="18">
        <f>'Formato 6 a)'!E76</f>
        <v>29000000</v>
      </c>
      <c r="T69" s="18">
        <f>'Formato 6 a)'!F76</f>
        <v>29000000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2000000</v>
      </c>
      <c r="Q70" s="18">
        <f>'Formato 6 a)'!C77</f>
        <v>-703414.67</v>
      </c>
      <c r="R70" s="18">
        <f>'Formato 6 a)'!D77</f>
        <v>1296585.33</v>
      </c>
      <c r="S70" s="18">
        <f>'Formato 6 a)'!E77</f>
        <v>1296585.33</v>
      </c>
      <c r="T70" s="18">
        <f>'Formato 6 a)'!F77</f>
        <v>1296585.33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211659985</v>
      </c>
      <c r="Q76">
        <f>'Formato 6 a)'!C84</f>
        <v>76235451.180000007</v>
      </c>
      <c r="R76">
        <f>'Formato 6 a)'!D84</f>
        <v>287895436.18000007</v>
      </c>
      <c r="S76">
        <f>'Formato 6 a)'!E84</f>
        <v>243829139.14000002</v>
      </c>
      <c r="T76">
        <f>'Formato 6 a)'!F84</f>
        <v>239031306.31999999</v>
      </c>
      <c r="U76">
        <f>'Formato 6 a)'!G84</f>
        <v>44066297.040000007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102214217.80000001</v>
      </c>
      <c r="Q77">
        <f>'Formato 6 a)'!C85</f>
        <v>-11283210.790000003</v>
      </c>
      <c r="R77">
        <f>'Formato 6 a)'!D85</f>
        <v>90931007.00999999</v>
      </c>
      <c r="S77">
        <f>'Formato 6 a)'!E85</f>
        <v>90931007.00999999</v>
      </c>
      <c r="T77">
        <f>'Formato 6 a)'!F85</f>
        <v>90931007.00999999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70678863.680000007</v>
      </c>
      <c r="Q78">
        <f>'Formato 6 a)'!C86</f>
        <v>-14449347.960000001</v>
      </c>
      <c r="R78">
        <f>'Formato 6 a)'!D86</f>
        <v>56229515.719999999</v>
      </c>
      <c r="S78">
        <f>'Formato 6 a)'!E86</f>
        <v>56229515.719999999</v>
      </c>
      <c r="T78">
        <f>'Formato 6 a)'!F86</f>
        <v>56229515.719999999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6464719</v>
      </c>
      <c r="Q79">
        <f>'Formato 6 a)'!C87</f>
        <v>2322149.88</v>
      </c>
      <c r="R79">
        <f>'Formato 6 a)'!D87</f>
        <v>8786868.8800000008</v>
      </c>
      <c r="S79">
        <f>'Formato 6 a)'!E87</f>
        <v>8786868.8800000008</v>
      </c>
      <c r="T79">
        <f>'Formato 6 a)'!F87</f>
        <v>8786868.8800000008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13376022.109999999</v>
      </c>
      <c r="Q80">
        <f>'Formato 6 a)'!C88</f>
        <v>-5074904.9400000004</v>
      </c>
      <c r="R80">
        <f>'Formato 6 a)'!D88</f>
        <v>8301117.1699999999</v>
      </c>
      <c r="S80">
        <f>'Formato 6 a)'!E88</f>
        <v>8301117.1699999999</v>
      </c>
      <c r="T80">
        <f>'Formato 6 a)'!F88</f>
        <v>8301117.1699999999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1000000</v>
      </c>
      <c r="Q81">
        <f>'Formato 6 a)'!C89</f>
        <v>1687638.55</v>
      </c>
      <c r="R81">
        <f>'Formato 6 a)'!D89</f>
        <v>2687638.55</v>
      </c>
      <c r="S81">
        <f>'Formato 6 a)'!E89</f>
        <v>2687638.55</v>
      </c>
      <c r="T81">
        <f>'Formato 6 a)'!F89</f>
        <v>2687638.55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10694613.01</v>
      </c>
      <c r="Q82">
        <f>'Formato 6 a)'!C90</f>
        <v>4231253.68</v>
      </c>
      <c r="R82">
        <f>'Formato 6 a)'!D90</f>
        <v>14925866.689999999</v>
      </c>
      <c r="S82">
        <f>'Formato 6 a)'!E90</f>
        <v>14925866.689999999</v>
      </c>
      <c r="T82">
        <f>'Formato 6 a)'!F90</f>
        <v>14925866.689999999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9995000</v>
      </c>
      <c r="Q85">
        <f>'Formato 6 a)'!C93</f>
        <v>8328049.1200000001</v>
      </c>
      <c r="R85">
        <f>'Formato 6 a)'!D93</f>
        <v>18323049.119999997</v>
      </c>
      <c r="S85">
        <f>'Formato 6 a)'!E93</f>
        <v>18316218.869999997</v>
      </c>
      <c r="T85">
        <f>'Formato 6 a)'!F93</f>
        <v>18485928.169999998</v>
      </c>
      <c r="U85">
        <f>'Formato 6 a)'!G93</f>
        <v>6830.2500000004657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150000</v>
      </c>
      <c r="Q87">
        <f>'Formato 6 a)'!C95</f>
        <v>-98351</v>
      </c>
      <c r="R87">
        <f>'Formato 6 a)'!D95</f>
        <v>51649</v>
      </c>
      <c r="S87">
        <f>'Formato 6 a)'!E95</f>
        <v>51649</v>
      </c>
      <c r="T87">
        <f>'Formato 6 a)'!F95</f>
        <v>51649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1000000</v>
      </c>
      <c r="Q89">
        <f>'Formato 6 a)'!C97</f>
        <v>1355061.54</v>
      </c>
      <c r="R89">
        <f>'Formato 6 a)'!D97</f>
        <v>2355061.54</v>
      </c>
      <c r="S89">
        <f>'Formato 6 a)'!E97</f>
        <v>2355061.54</v>
      </c>
      <c r="T89">
        <f>'Formato 6 a)'!F97</f>
        <v>2355061.54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8480000</v>
      </c>
      <c r="Q91">
        <f>'Formato 6 a)'!C99</f>
        <v>2787695.82</v>
      </c>
      <c r="R91">
        <f>'Formato 6 a)'!D99</f>
        <v>11267695.82</v>
      </c>
      <c r="S91">
        <f>'Formato 6 a)'!E99</f>
        <v>11267695.82</v>
      </c>
      <c r="T91">
        <f>'Formato 6 a)'!F99</f>
        <v>11267695.82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15000</v>
      </c>
      <c r="Q92">
        <f>'Formato 6 a)'!C100</f>
        <v>4072678.97</v>
      </c>
      <c r="R92">
        <f>'Formato 6 a)'!D100</f>
        <v>4087678.97</v>
      </c>
      <c r="S92">
        <f>'Formato 6 a)'!E100</f>
        <v>4081284.51</v>
      </c>
      <c r="T92">
        <f>'Formato 6 a)'!F100</f>
        <v>4081284.51</v>
      </c>
      <c r="U92">
        <f>'Formato 6 a)'!G100</f>
        <v>6394.4600000004284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350000</v>
      </c>
      <c r="Q93">
        <f>'Formato 6 a)'!C101</f>
        <v>160780.32999999999</v>
      </c>
      <c r="R93">
        <f>'Formato 6 a)'!D101</f>
        <v>510780.33</v>
      </c>
      <c r="S93">
        <f>'Formato 6 a)'!E101</f>
        <v>510344.54</v>
      </c>
      <c r="T93">
        <f>'Formato 6 a)'!F101</f>
        <v>680053.84</v>
      </c>
      <c r="U93">
        <f>'Formato 6 a)'!G101</f>
        <v>435.79000000003725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50183.46</v>
      </c>
      <c r="R94">
        <f>'Formato 6 a)'!D102</f>
        <v>50183.46</v>
      </c>
      <c r="S94">
        <f>'Formato 6 a)'!E102</f>
        <v>50183.46</v>
      </c>
      <c r="T94">
        <f>'Formato 6 a)'!F102</f>
        <v>50183.46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10489893</v>
      </c>
      <c r="Q95">
        <f>'Formato 6 a)'!C103</f>
        <v>13866730.130000001</v>
      </c>
      <c r="R95">
        <f>'Formato 6 a)'!D103</f>
        <v>24356623.130000003</v>
      </c>
      <c r="S95">
        <f>'Formato 6 a)'!E103</f>
        <v>24352125.48</v>
      </c>
      <c r="T95">
        <f>'Formato 6 a)'!F103</f>
        <v>24069229.440000001</v>
      </c>
      <c r="U95">
        <f>'Formato 6 a)'!G103</f>
        <v>4497.6500000011292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1000000</v>
      </c>
      <c r="Q96">
        <f>'Formato 6 a)'!C104</f>
        <v>967279.76</v>
      </c>
      <c r="R96">
        <f>'Formato 6 a)'!D104</f>
        <v>1967279.76</v>
      </c>
      <c r="S96">
        <f>'Formato 6 a)'!E104</f>
        <v>1967279.76</v>
      </c>
      <c r="T96">
        <f>'Formato 6 a)'!F104</f>
        <v>1967279.76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3998380</v>
      </c>
      <c r="R98">
        <f>'Formato 6 a)'!D106</f>
        <v>3998380</v>
      </c>
      <c r="S98">
        <f>'Formato 6 a)'!E106</f>
        <v>3994080</v>
      </c>
      <c r="T98">
        <f>'Formato 6 a)'!F106</f>
        <v>4201080</v>
      </c>
      <c r="U98">
        <f>'Formato 6 a)'!G106</f>
        <v>4300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1000000</v>
      </c>
      <c r="Q99">
        <f>'Formato 6 a)'!C107</f>
        <v>830009.07</v>
      </c>
      <c r="R99">
        <f>'Formato 6 a)'!D107</f>
        <v>1830009.07</v>
      </c>
      <c r="S99">
        <f>'Formato 6 a)'!E107</f>
        <v>1830009.07</v>
      </c>
      <c r="T99">
        <f>'Formato 6 a)'!F107</f>
        <v>1830009.07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4615000</v>
      </c>
      <c r="Q100">
        <f>'Formato 6 a)'!C108</f>
        <v>8441547.3000000007</v>
      </c>
      <c r="R100">
        <f>'Formato 6 a)'!D108</f>
        <v>13056547.300000001</v>
      </c>
      <c r="S100">
        <f>'Formato 6 a)'!E108</f>
        <v>13056547.1</v>
      </c>
      <c r="T100">
        <f>'Formato 6 a)'!F108</f>
        <v>12954126.060000001</v>
      </c>
      <c r="U100">
        <f>'Formato 6 a)'!G108</f>
        <v>0.20000000111758709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72965</v>
      </c>
      <c r="R101">
        <f>'Formato 6 a)'!D109</f>
        <v>72965</v>
      </c>
      <c r="S101">
        <f>'Formato 6 a)'!E109</f>
        <v>72965</v>
      </c>
      <c r="T101">
        <f>'Formato 6 a)'!F109</f>
        <v>72965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154072</v>
      </c>
      <c r="R103">
        <f>'Formato 6 a)'!D111</f>
        <v>154072</v>
      </c>
      <c r="S103">
        <f>'Formato 6 a)'!E111</f>
        <v>153874.54999999999</v>
      </c>
      <c r="T103">
        <f>'Formato 6 a)'!F111</f>
        <v>153874.54999999999</v>
      </c>
      <c r="U103">
        <f>'Formato 6 a)'!G111</f>
        <v>197.45000000001164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3874893</v>
      </c>
      <c r="Q104">
        <f>'Formato 6 a)'!C112</f>
        <v>-597523</v>
      </c>
      <c r="R104">
        <f>'Formato 6 a)'!D112</f>
        <v>3277370</v>
      </c>
      <c r="S104">
        <f>'Formato 6 a)'!E112</f>
        <v>3277370</v>
      </c>
      <c r="T104">
        <f>'Formato 6 a)'!F112</f>
        <v>2889895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14368926.490000002</v>
      </c>
      <c r="R105">
        <f>'Formato 6 a)'!D113</f>
        <v>14368926.490000002</v>
      </c>
      <c r="S105">
        <f>'Formato 6 a)'!E113</f>
        <v>13388184.6</v>
      </c>
      <c r="T105">
        <f>'Formato 6 a)'!F113</f>
        <v>12520663.82</v>
      </c>
      <c r="U105">
        <f>'Formato 6 a)'!G113</f>
        <v>980741.89000000153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32000</v>
      </c>
      <c r="R106">
        <f>'Formato 6 a)'!D114</f>
        <v>32000</v>
      </c>
      <c r="S106">
        <f>'Formato 6 a)'!E114</f>
        <v>32000</v>
      </c>
      <c r="T106">
        <f>'Formato 6 a)'!F114</f>
        <v>32000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5936875.9400000004</v>
      </c>
      <c r="R108">
        <f>'Formato 6 a)'!D116</f>
        <v>5936875.9400000004</v>
      </c>
      <c r="S108">
        <f>'Formato 6 a)'!E116</f>
        <v>4956134.33</v>
      </c>
      <c r="T108">
        <f>'Formato 6 a)'!F116</f>
        <v>4301913.4000000004</v>
      </c>
      <c r="U108">
        <f>'Formato 6 a)'!G116</f>
        <v>980741.61000000034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8400050.5500000007</v>
      </c>
      <c r="R109">
        <f>'Formato 6 a)'!D117</f>
        <v>8400050.5500000007</v>
      </c>
      <c r="S109">
        <f>'Formato 6 a)'!E117</f>
        <v>8400050.2699999996</v>
      </c>
      <c r="T109">
        <f>'Formato 6 a)'!F117</f>
        <v>8186750.4199999999</v>
      </c>
      <c r="U109">
        <f>'Formato 6 a)'!G117</f>
        <v>0.2800000011920929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3826383.5199999996</v>
      </c>
      <c r="R115">
        <f>'Formato 6 a)'!D123</f>
        <v>3826383.5199999996</v>
      </c>
      <c r="S115">
        <f>'Formato 6 a)'!E123</f>
        <v>3826383.5199999996</v>
      </c>
      <c r="T115">
        <f>'Formato 6 a)'!F123</f>
        <v>3826383.5199999996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79940.009999999995</v>
      </c>
      <c r="R116">
        <f>'Formato 6 a)'!D124</f>
        <v>79940.009999999995</v>
      </c>
      <c r="S116">
        <f>'Formato 6 a)'!E124</f>
        <v>79940.009999999995</v>
      </c>
      <c r="T116">
        <f>'Formato 6 a)'!F124</f>
        <v>79940.009999999995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2374755.6</v>
      </c>
      <c r="R119">
        <f>'Formato 6 a)'!D127</f>
        <v>2374755.6</v>
      </c>
      <c r="S119">
        <f>'Formato 6 a)'!E127</f>
        <v>2374755.6</v>
      </c>
      <c r="T119">
        <f>'Formato 6 a)'!F127</f>
        <v>2374755.6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1139499.9099999999</v>
      </c>
      <c r="R120">
        <f>'Formato 6 a)'!D128</f>
        <v>1139499.9099999999</v>
      </c>
      <c r="S120">
        <f>'Formato 6 a)'!E128</f>
        <v>1139499.9099999999</v>
      </c>
      <c r="T120">
        <f>'Formato 6 a)'!F128</f>
        <v>1139499.9099999999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232188</v>
      </c>
      <c r="R121">
        <f>'Formato 6 a)'!D129</f>
        <v>232188</v>
      </c>
      <c r="S121">
        <f>'Formato 6 a)'!E129</f>
        <v>232188</v>
      </c>
      <c r="T121">
        <f>'Formato 6 a)'!F129</f>
        <v>232188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83371662</v>
      </c>
      <c r="Q125">
        <f>'Formato 6 a)'!C133</f>
        <v>44895538.18</v>
      </c>
      <c r="R125">
        <f>'Formato 6 a)'!D133</f>
        <v>128267200.18000001</v>
      </c>
      <c r="S125">
        <f>'Formato 6 a)'!E133</f>
        <v>85192972.930000007</v>
      </c>
      <c r="T125">
        <f>'Formato 6 a)'!F133</f>
        <v>81375847.629999995</v>
      </c>
      <c r="U125">
        <f>'Formato 6 a)'!G133</f>
        <v>43074227.25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83371662</v>
      </c>
      <c r="Q126">
        <f>'Formato 6 a)'!C134</f>
        <v>44895538.18</v>
      </c>
      <c r="R126">
        <f>'Formato 6 a)'!D134</f>
        <v>128267200.18000001</v>
      </c>
      <c r="S126">
        <f>'Formato 6 a)'!E134</f>
        <v>85192972.930000007</v>
      </c>
      <c r="T126">
        <f>'Formato 6 a)'!F134</f>
        <v>81375847.629999995</v>
      </c>
      <c r="U126">
        <f>'Formato 6 a)'!G134</f>
        <v>43074227.25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3028919.76</v>
      </c>
      <c r="R138">
        <f>'Formato 6 a)'!D146</f>
        <v>3028919.76</v>
      </c>
      <c r="S138">
        <f>'Formato 6 a)'!E146</f>
        <v>3028919.76</v>
      </c>
      <c r="T138">
        <f>'Formato 6 a)'!F146</f>
        <v>3028919.76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3028919.76</v>
      </c>
      <c r="R141">
        <f>'Formato 6 a)'!D149</f>
        <v>3028919.76</v>
      </c>
      <c r="S141">
        <f>'Formato 6 a)'!E149</f>
        <v>3028919.76</v>
      </c>
      <c r="T141">
        <f>'Formato 6 a)'!F149</f>
        <v>3028919.76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5589212.2000000002</v>
      </c>
      <c r="Q142">
        <f>'Formato 6 a)'!C150</f>
        <v>-795885.23</v>
      </c>
      <c r="R142">
        <f>'Formato 6 a)'!D150</f>
        <v>4793326.97</v>
      </c>
      <c r="S142">
        <f>'Formato 6 a)'!E150</f>
        <v>4793326.97</v>
      </c>
      <c r="T142">
        <f>'Formato 6 a)'!F150</f>
        <v>4793326.97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3744000</v>
      </c>
      <c r="Q143">
        <f>'Formato 6 a)'!C151</f>
        <v>0</v>
      </c>
      <c r="R143">
        <f>'Formato 6 a)'!D151</f>
        <v>3744000</v>
      </c>
      <c r="S143">
        <f>'Formato 6 a)'!E151</f>
        <v>3744000</v>
      </c>
      <c r="T143">
        <f>'Formato 6 a)'!F151</f>
        <v>3744000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1845212.2</v>
      </c>
      <c r="Q144">
        <f>'Formato 6 a)'!C152</f>
        <v>-795885.23</v>
      </c>
      <c r="R144">
        <f>'Formato 6 a)'!D152</f>
        <v>1049326.97</v>
      </c>
      <c r="S144">
        <f>'Formato 6 a)'!E152</f>
        <v>1049326.97</v>
      </c>
      <c r="T144">
        <f>'Formato 6 a)'!F152</f>
        <v>1049326.97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594106494.11999989</v>
      </c>
      <c r="Q150">
        <f>'Formato 6 a)'!C159</f>
        <v>186544322.31999999</v>
      </c>
      <c r="R150">
        <f>'Formato 6 a)'!D159</f>
        <v>780650816.44000006</v>
      </c>
      <c r="S150">
        <f>'Formato 6 a)'!E159</f>
        <v>732514139.65999997</v>
      </c>
      <c r="T150">
        <f>'Formato 6 a)'!F159</f>
        <v>662937576</v>
      </c>
      <c r="U150">
        <f>'Formato 6 a)'!G159</f>
        <v>48136676.780000001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87"/>
  <sheetViews>
    <sheetView showGridLines="0" zoomScale="90" zoomScaleNormal="90" workbookViewId="0">
      <selection activeCell="A19" sqref="A19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63" t="s">
        <v>3282</v>
      </c>
      <c r="B1" s="163"/>
      <c r="C1" s="163"/>
      <c r="D1" s="163"/>
      <c r="E1" s="163"/>
      <c r="F1" s="163"/>
      <c r="G1" s="163"/>
    </row>
    <row r="2" spans="1:7" ht="14.25" x14ac:dyDescent="0.45">
      <c r="A2" s="144" t="str">
        <f>ENTE_PUBLICO_A</f>
        <v>MUNICIPIO DE SILAO DE LA VICTORIA, Gobierno del Estado de Guanajuato (a)</v>
      </c>
      <c r="B2" s="145"/>
      <c r="C2" s="145"/>
      <c r="D2" s="145"/>
      <c r="E2" s="145"/>
      <c r="F2" s="145"/>
      <c r="G2" s="146"/>
    </row>
    <row r="3" spans="1:7" x14ac:dyDescent="0.25">
      <c r="A3" s="147" t="s">
        <v>277</v>
      </c>
      <c r="B3" s="148"/>
      <c r="C3" s="148"/>
      <c r="D3" s="148"/>
      <c r="E3" s="148"/>
      <c r="F3" s="148"/>
      <c r="G3" s="149"/>
    </row>
    <row r="4" spans="1:7" x14ac:dyDescent="0.25">
      <c r="A4" s="147" t="s">
        <v>431</v>
      </c>
      <c r="B4" s="148"/>
      <c r="C4" s="148"/>
      <c r="D4" s="148"/>
      <c r="E4" s="148"/>
      <c r="F4" s="148"/>
      <c r="G4" s="149"/>
    </row>
    <row r="5" spans="1:7" ht="14.25" x14ac:dyDescent="0.45">
      <c r="A5" s="150" t="str">
        <f>TRIMESTRE</f>
        <v>Del 1 de enero al 31 de diciembre de 2020 (b)</v>
      </c>
      <c r="B5" s="151"/>
      <c r="C5" s="151"/>
      <c r="D5" s="151"/>
      <c r="E5" s="151"/>
      <c r="F5" s="151"/>
      <c r="G5" s="152"/>
    </row>
    <row r="6" spans="1:7" ht="14.25" x14ac:dyDescent="0.45">
      <c r="A6" s="153" t="s">
        <v>118</v>
      </c>
      <c r="B6" s="154"/>
      <c r="C6" s="154"/>
      <c r="D6" s="154"/>
      <c r="E6" s="154"/>
      <c r="F6" s="154"/>
      <c r="G6" s="155"/>
    </row>
    <row r="7" spans="1:7" x14ac:dyDescent="0.25">
      <c r="A7" s="159" t="s">
        <v>0</v>
      </c>
      <c r="B7" s="161" t="s">
        <v>279</v>
      </c>
      <c r="C7" s="161"/>
      <c r="D7" s="161"/>
      <c r="E7" s="161"/>
      <c r="F7" s="161"/>
      <c r="G7" s="165" t="s">
        <v>280</v>
      </c>
    </row>
    <row r="8" spans="1:7" ht="30" x14ac:dyDescent="0.25">
      <c r="A8" s="160"/>
      <c r="B8" s="44" t="s">
        <v>281</v>
      </c>
      <c r="C8" s="43" t="s">
        <v>211</v>
      </c>
      <c r="D8" s="44" t="s">
        <v>212</v>
      </c>
      <c r="E8" s="44" t="s">
        <v>167</v>
      </c>
      <c r="F8" s="44" t="s">
        <v>185</v>
      </c>
      <c r="G8" s="164"/>
    </row>
    <row r="9" spans="1:7" x14ac:dyDescent="0.25">
      <c r="A9" s="50" t="s">
        <v>432</v>
      </c>
      <c r="B9" s="136">
        <f>SUM(B10:GASTO_NE_FIN_01)</f>
        <v>382446509.11999995</v>
      </c>
      <c r="C9" s="136">
        <f>SUM(C10:GASTO_NE_FIN_02)</f>
        <v>110308871.22</v>
      </c>
      <c r="D9" s="136">
        <f>SUM(D10:GASTO_NE_FIN_03)</f>
        <v>492755380.56999993</v>
      </c>
      <c r="E9" s="136">
        <f>SUM(E10:GASTO_NE_FIN_04)</f>
        <v>488685001.0200001</v>
      </c>
      <c r="F9" s="136">
        <f>SUM(F10:GASTO_NE_FIN_05)</f>
        <v>423906270.21999985</v>
      </c>
      <c r="G9" s="136">
        <f>SUM(G10:GASTO_NE_FIN_06)</f>
        <v>4070379.549999998</v>
      </c>
    </row>
    <row r="10" spans="1:7" s="23" customFormat="1" x14ac:dyDescent="0.25">
      <c r="A10" s="139" t="s">
        <v>3297</v>
      </c>
      <c r="B10" s="137">
        <v>6791573.7999999998</v>
      </c>
      <c r="C10" s="137">
        <v>-1116620.24</v>
      </c>
      <c r="D10" s="137">
        <v>5674953.5599999996</v>
      </c>
      <c r="E10" s="137">
        <v>5605109.3300000001</v>
      </c>
      <c r="F10" s="137">
        <v>5008755.12</v>
      </c>
      <c r="G10" s="137">
        <f>D10-E10</f>
        <v>69844.229999999516</v>
      </c>
    </row>
    <row r="11" spans="1:7" s="23" customFormat="1" x14ac:dyDescent="0.25">
      <c r="A11" s="139" t="s">
        <v>3298</v>
      </c>
      <c r="B11" s="137">
        <v>19291980.920000002</v>
      </c>
      <c r="C11" s="137">
        <v>-706741.16</v>
      </c>
      <c r="D11" s="137">
        <v>18585239.800000001</v>
      </c>
      <c r="E11" s="137">
        <v>18549139.399999999</v>
      </c>
      <c r="F11" s="137">
        <v>17185831.100000001</v>
      </c>
      <c r="G11" s="137">
        <f t="shared" ref="G11:G62" si="0">D11-E11</f>
        <v>36100.400000002235</v>
      </c>
    </row>
    <row r="12" spans="1:7" s="23" customFormat="1" x14ac:dyDescent="0.25">
      <c r="A12" s="139" t="s">
        <v>3299</v>
      </c>
      <c r="B12" s="137">
        <v>9567402.5399999991</v>
      </c>
      <c r="C12" s="137">
        <v>3334594.09</v>
      </c>
      <c r="D12" s="137">
        <v>12901996.6</v>
      </c>
      <c r="E12" s="137">
        <v>12875211</v>
      </c>
      <c r="F12" s="137">
        <v>11636433.9</v>
      </c>
      <c r="G12" s="137">
        <f t="shared" si="0"/>
        <v>26785.599999999627</v>
      </c>
    </row>
    <row r="13" spans="1:7" s="23" customFormat="1" x14ac:dyDescent="0.25">
      <c r="A13" s="139" t="s">
        <v>3300</v>
      </c>
      <c r="B13" s="137">
        <v>816269.38</v>
      </c>
      <c r="C13" s="137">
        <v>-76982</v>
      </c>
      <c r="D13" s="137">
        <v>739287.38</v>
      </c>
      <c r="E13" s="137">
        <v>685923.76</v>
      </c>
      <c r="F13" s="137">
        <v>609977.07999999996</v>
      </c>
      <c r="G13" s="137">
        <f t="shared" si="0"/>
        <v>53363.619999999995</v>
      </c>
    </row>
    <row r="14" spans="1:7" s="23" customFormat="1" x14ac:dyDescent="0.25">
      <c r="A14" s="139" t="s">
        <v>3301</v>
      </c>
      <c r="B14" s="137">
        <v>1274662.04</v>
      </c>
      <c r="C14" s="137">
        <v>-547699.76</v>
      </c>
      <c r="D14" s="137">
        <v>726962.28</v>
      </c>
      <c r="E14" s="137">
        <v>697165.09</v>
      </c>
      <c r="F14" s="137">
        <v>654803.46</v>
      </c>
      <c r="G14" s="137">
        <f t="shared" si="0"/>
        <v>29797.190000000061</v>
      </c>
    </row>
    <row r="15" spans="1:7" s="23" customFormat="1" x14ac:dyDescent="0.25">
      <c r="A15" s="139" t="s">
        <v>3302</v>
      </c>
      <c r="B15" s="137">
        <v>7881376.3600000003</v>
      </c>
      <c r="C15" s="137">
        <v>1490355.19</v>
      </c>
      <c r="D15" s="137">
        <v>9371731.5500000007</v>
      </c>
      <c r="E15" s="137">
        <v>9280833.0700000003</v>
      </c>
      <c r="F15" s="137">
        <v>6303041.2300000004</v>
      </c>
      <c r="G15" s="137">
        <f t="shared" si="0"/>
        <v>90898.480000000447</v>
      </c>
    </row>
    <row r="16" spans="1:7" s="23" customFormat="1" x14ac:dyDescent="0.25">
      <c r="A16" s="139" t="s">
        <v>3303</v>
      </c>
      <c r="B16" s="137">
        <v>7165712.9199999999</v>
      </c>
      <c r="C16" s="137">
        <v>-3986104.97</v>
      </c>
      <c r="D16" s="137">
        <v>3179607.95</v>
      </c>
      <c r="E16" s="137">
        <v>3133976.87</v>
      </c>
      <c r="F16" s="137">
        <v>2904690.92</v>
      </c>
      <c r="G16" s="137">
        <f t="shared" si="0"/>
        <v>45631.080000000075</v>
      </c>
    </row>
    <row r="17" spans="1:7" s="23" customFormat="1" x14ac:dyDescent="0.25">
      <c r="A17" s="139" t="s">
        <v>3304</v>
      </c>
      <c r="B17" s="137">
        <v>1215635.44</v>
      </c>
      <c r="C17" s="137">
        <v>-585571.88</v>
      </c>
      <c r="D17" s="137">
        <v>630063.56000000006</v>
      </c>
      <c r="E17" s="137">
        <v>590276.87</v>
      </c>
      <c r="F17" s="137">
        <v>525693.06999999995</v>
      </c>
      <c r="G17" s="137">
        <f t="shared" si="0"/>
        <v>39786.690000000061</v>
      </c>
    </row>
    <row r="18" spans="1:7" s="23" customFormat="1" x14ac:dyDescent="0.25">
      <c r="A18" s="139" t="s">
        <v>3305</v>
      </c>
      <c r="B18" s="137">
        <v>3392943.23</v>
      </c>
      <c r="C18" s="137">
        <v>-162086.54</v>
      </c>
      <c r="D18" s="137">
        <v>3230856.69</v>
      </c>
      <c r="E18" s="137">
        <v>3182997.51</v>
      </c>
      <c r="F18" s="137">
        <v>2876281.24</v>
      </c>
      <c r="G18" s="137">
        <f t="shared" si="0"/>
        <v>47859.180000000168</v>
      </c>
    </row>
    <row r="19" spans="1:7" s="23" customFormat="1" x14ac:dyDescent="0.25">
      <c r="A19" s="139" t="s">
        <v>3306</v>
      </c>
      <c r="B19" s="137">
        <v>6169135.5800000001</v>
      </c>
      <c r="C19" s="137">
        <v>-1911801.88</v>
      </c>
      <c r="D19" s="137">
        <v>4257333.7</v>
      </c>
      <c r="E19" s="137">
        <v>4179170.41</v>
      </c>
      <c r="F19" s="137">
        <v>3815110.55</v>
      </c>
      <c r="G19" s="137">
        <f t="shared" si="0"/>
        <v>78163.290000000037</v>
      </c>
    </row>
    <row r="20" spans="1:7" s="23" customFormat="1" x14ac:dyDescent="0.25">
      <c r="A20" s="139" t="s">
        <v>3307</v>
      </c>
      <c r="B20" s="137">
        <v>2503978.13</v>
      </c>
      <c r="C20" s="137">
        <v>-774372.14</v>
      </c>
      <c r="D20" s="137">
        <v>1729605.99</v>
      </c>
      <c r="E20" s="137">
        <v>1699626.77</v>
      </c>
      <c r="F20" s="137">
        <v>1559734.97</v>
      </c>
      <c r="G20" s="137">
        <f t="shared" si="0"/>
        <v>29979.219999999972</v>
      </c>
    </row>
    <row r="21" spans="1:7" s="23" customFormat="1" x14ac:dyDescent="0.25">
      <c r="A21" s="139" t="s">
        <v>3308</v>
      </c>
      <c r="B21" s="137">
        <v>455242.4</v>
      </c>
      <c r="C21" s="137">
        <v>-255499.45</v>
      </c>
      <c r="D21" s="137">
        <v>199742.95</v>
      </c>
      <c r="E21" s="137">
        <v>168111.34</v>
      </c>
      <c r="F21" s="137">
        <v>158048.60999999999</v>
      </c>
      <c r="G21" s="137">
        <f t="shared" si="0"/>
        <v>31631.610000000015</v>
      </c>
    </row>
    <row r="22" spans="1:7" s="23" customFormat="1" x14ac:dyDescent="0.25">
      <c r="A22" s="139" t="s">
        <v>3309</v>
      </c>
      <c r="B22" s="137">
        <v>1779221.74</v>
      </c>
      <c r="C22" s="137">
        <v>-815741.96</v>
      </c>
      <c r="D22" s="137">
        <v>963479.78</v>
      </c>
      <c r="E22" s="137">
        <v>925516.87</v>
      </c>
      <c r="F22" s="137">
        <v>847385.41</v>
      </c>
      <c r="G22" s="137">
        <f t="shared" si="0"/>
        <v>37962.910000000033</v>
      </c>
    </row>
    <row r="23" spans="1:7" s="23" customFormat="1" x14ac:dyDescent="0.25">
      <c r="A23" s="139" t="s">
        <v>3310</v>
      </c>
      <c r="B23" s="137">
        <v>636186.17000000004</v>
      </c>
      <c r="C23" s="137">
        <v>-103886.21</v>
      </c>
      <c r="D23" s="137">
        <v>532299.96</v>
      </c>
      <c r="E23" s="137">
        <v>494433.05</v>
      </c>
      <c r="F23" s="137">
        <v>465833.08</v>
      </c>
      <c r="G23" s="137">
        <f t="shared" si="0"/>
        <v>37866.909999999974</v>
      </c>
    </row>
    <row r="24" spans="1:7" s="23" customFormat="1" x14ac:dyDescent="0.25">
      <c r="A24" s="139" t="s">
        <v>3311</v>
      </c>
      <c r="B24" s="137">
        <v>1074853.8600000001</v>
      </c>
      <c r="C24" s="137">
        <v>-176001.93</v>
      </c>
      <c r="D24" s="137">
        <v>898851.93</v>
      </c>
      <c r="E24" s="137">
        <v>832899.09</v>
      </c>
      <c r="F24" s="137">
        <v>802043.39</v>
      </c>
      <c r="G24" s="137">
        <f t="shared" si="0"/>
        <v>65952.840000000084</v>
      </c>
    </row>
    <row r="25" spans="1:7" s="23" customFormat="1" x14ac:dyDescent="0.25">
      <c r="A25" s="139" t="s">
        <v>3312</v>
      </c>
      <c r="B25" s="137">
        <v>455544.72</v>
      </c>
      <c r="C25" s="137">
        <v>-11500.67</v>
      </c>
      <c r="D25" s="137">
        <v>444044.05</v>
      </c>
      <c r="E25" s="137">
        <v>400296.61</v>
      </c>
      <c r="F25" s="137">
        <v>362920.76</v>
      </c>
      <c r="G25" s="137">
        <f t="shared" si="0"/>
        <v>43747.44</v>
      </c>
    </row>
    <row r="26" spans="1:7" s="23" customFormat="1" x14ac:dyDescent="0.25">
      <c r="A26" s="139" t="s">
        <v>3313</v>
      </c>
      <c r="B26" s="137">
        <v>69674445.879999995</v>
      </c>
      <c r="C26" s="137">
        <v>6332387.9400000004</v>
      </c>
      <c r="D26" s="137">
        <v>76006833.799999997</v>
      </c>
      <c r="E26" s="137">
        <v>75963893.099999994</v>
      </c>
      <c r="F26" s="137">
        <v>71802586.599999994</v>
      </c>
      <c r="G26" s="137">
        <f t="shared" si="0"/>
        <v>42940.70000000298</v>
      </c>
    </row>
    <row r="27" spans="1:7" s="23" customFormat="1" x14ac:dyDescent="0.25">
      <c r="A27" s="139" t="s">
        <v>3314</v>
      </c>
      <c r="B27" s="137">
        <v>2523477.9700000002</v>
      </c>
      <c r="C27" s="137">
        <v>510109.64</v>
      </c>
      <c r="D27" s="137">
        <v>3033587.61</v>
      </c>
      <c r="E27" s="137">
        <v>2955930.94</v>
      </c>
      <c r="F27" s="137">
        <v>2776590.41</v>
      </c>
      <c r="G27" s="137">
        <f t="shared" si="0"/>
        <v>77656.669999999925</v>
      </c>
    </row>
    <row r="28" spans="1:7" s="23" customFormat="1" x14ac:dyDescent="0.25">
      <c r="A28" s="139" t="s">
        <v>3315</v>
      </c>
      <c r="B28" s="137">
        <v>3360663.19</v>
      </c>
      <c r="C28" s="137">
        <v>-87115.93</v>
      </c>
      <c r="D28" s="137">
        <v>3273547.26</v>
      </c>
      <c r="E28" s="137">
        <v>3194260.34</v>
      </c>
      <c r="F28" s="137">
        <v>2961470.65</v>
      </c>
      <c r="G28" s="137">
        <f t="shared" si="0"/>
        <v>79286.919999999925</v>
      </c>
    </row>
    <row r="29" spans="1:7" s="23" customFormat="1" x14ac:dyDescent="0.25">
      <c r="A29" s="139" t="s">
        <v>3316</v>
      </c>
      <c r="B29" s="137">
        <v>3009733.38</v>
      </c>
      <c r="C29" s="137">
        <v>1515171.33</v>
      </c>
      <c r="D29" s="137">
        <v>4524904.71</v>
      </c>
      <c r="E29" s="137">
        <v>4454358.28</v>
      </c>
      <c r="F29" s="137">
        <v>4208409.49</v>
      </c>
      <c r="G29" s="137">
        <f t="shared" si="0"/>
        <v>70546.429999999702</v>
      </c>
    </row>
    <row r="30" spans="1:7" s="23" customFormat="1" x14ac:dyDescent="0.25">
      <c r="A30" s="139" t="s">
        <v>3317</v>
      </c>
      <c r="B30" s="137">
        <v>43984465.039999999</v>
      </c>
      <c r="C30" s="137">
        <v>67431408.799999997</v>
      </c>
      <c r="D30" s="137">
        <v>111415874</v>
      </c>
      <c r="E30" s="137">
        <v>111358166</v>
      </c>
      <c r="F30" s="137">
        <v>108396211</v>
      </c>
      <c r="G30" s="137">
        <f t="shared" si="0"/>
        <v>57708</v>
      </c>
    </row>
    <row r="31" spans="1:7" s="23" customFormat="1" x14ac:dyDescent="0.25">
      <c r="A31" s="139" t="s">
        <v>3318</v>
      </c>
      <c r="B31" s="137">
        <v>43793405.079999998</v>
      </c>
      <c r="C31" s="137">
        <v>16634179.199999999</v>
      </c>
      <c r="D31" s="137">
        <v>60427584.299999997</v>
      </c>
      <c r="E31" s="137">
        <v>60374100.799999997</v>
      </c>
      <c r="F31" s="137">
        <v>39296749.100000001</v>
      </c>
      <c r="G31" s="137">
        <f t="shared" si="0"/>
        <v>53483.5</v>
      </c>
    </row>
    <row r="32" spans="1:7" s="23" customFormat="1" x14ac:dyDescent="0.25">
      <c r="A32" s="139" t="s">
        <v>3319</v>
      </c>
      <c r="B32" s="137">
        <v>3967199.69</v>
      </c>
      <c r="C32" s="137">
        <v>1171710.92</v>
      </c>
      <c r="D32" s="137">
        <v>5138910.6100000003</v>
      </c>
      <c r="E32" s="137">
        <v>5024565.55</v>
      </c>
      <c r="F32" s="137">
        <v>4245642.1500000004</v>
      </c>
      <c r="G32" s="137">
        <f t="shared" si="0"/>
        <v>114345.06000000052</v>
      </c>
    </row>
    <row r="33" spans="1:7" s="23" customFormat="1" x14ac:dyDescent="0.25">
      <c r="A33" s="139" t="s">
        <v>3320</v>
      </c>
      <c r="B33" s="137">
        <v>6139311.7699999996</v>
      </c>
      <c r="C33" s="137">
        <v>-4250102.83</v>
      </c>
      <c r="D33" s="137">
        <v>1889208.94</v>
      </c>
      <c r="E33" s="137">
        <v>1814301.97</v>
      </c>
      <c r="F33" s="137">
        <v>1571897.44</v>
      </c>
      <c r="G33" s="137">
        <f t="shared" si="0"/>
        <v>74906.969999999972</v>
      </c>
    </row>
    <row r="34" spans="1:7" s="23" customFormat="1" x14ac:dyDescent="0.25">
      <c r="A34" s="139" t="s">
        <v>3321</v>
      </c>
      <c r="B34" s="137">
        <v>2639861.19</v>
      </c>
      <c r="C34" s="137">
        <v>-420592.29</v>
      </c>
      <c r="D34" s="137">
        <v>2219268.9</v>
      </c>
      <c r="E34" s="137">
        <v>2179245.42</v>
      </c>
      <c r="F34" s="137">
        <v>1999009.21</v>
      </c>
      <c r="G34" s="137">
        <f t="shared" si="0"/>
        <v>40023.479999999981</v>
      </c>
    </row>
    <row r="35" spans="1:7" s="23" customFormat="1" x14ac:dyDescent="0.25">
      <c r="A35" s="139" t="s">
        <v>3322</v>
      </c>
      <c r="B35" s="137">
        <v>1222141.8899999999</v>
      </c>
      <c r="C35" s="137">
        <v>-527603.72</v>
      </c>
      <c r="D35" s="137">
        <v>694538.17</v>
      </c>
      <c r="E35" s="137">
        <v>643082.18000000005</v>
      </c>
      <c r="F35" s="137">
        <v>642263.63</v>
      </c>
      <c r="G35" s="137">
        <f t="shared" si="0"/>
        <v>51455.989999999991</v>
      </c>
    </row>
    <row r="36" spans="1:7" s="23" customFormat="1" x14ac:dyDescent="0.25">
      <c r="A36" s="139" t="s">
        <v>3323</v>
      </c>
      <c r="B36" s="137">
        <v>6886955.4400000004</v>
      </c>
      <c r="C36" s="137">
        <v>3103345.66</v>
      </c>
      <c r="D36" s="137">
        <v>9990301.0999999996</v>
      </c>
      <c r="E36" s="137">
        <v>9909884.1400000006</v>
      </c>
      <c r="F36" s="137">
        <v>8917111.5299999993</v>
      </c>
      <c r="G36" s="137">
        <f t="shared" si="0"/>
        <v>80416.959999999031</v>
      </c>
    </row>
    <row r="37" spans="1:7" s="23" customFormat="1" x14ac:dyDescent="0.25">
      <c r="A37" s="139" t="s">
        <v>3324</v>
      </c>
      <c r="B37" s="137">
        <v>4125554.89</v>
      </c>
      <c r="C37" s="137">
        <v>-1418222.13</v>
      </c>
      <c r="D37" s="137">
        <v>2707332.76</v>
      </c>
      <c r="E37" s="137">
        <v>2641008.19</v>
      </c>
      <c r="F37" s="137">
        <v>2557946.4700000002</v>
      </c>
      <c r="G37" s="137">
        <f t="shared" si="0"/>
        <v>66324.569999999832</v>
      </c>
    </row>
    <row r="38" spans="1:7" s="23" customFormat="1" x14ac:dyDescent="0.25">
      <c r="A38" s="139" t="s">
        <v>3325</v>
      </c>
      <c r="B38" s="137">
        <v>21962281.100000001</v>
      </c>
      <c r="C38" s="137">
        <v>17447973.699999999</v>
      </c>
      <c r="D38" s="137">
        <v>39410254.799999997</v>
      </c>
      <c r="E38" s="137">
        <v>39370374.600000001</v>
      </c>
      <c r="F38" s="137">
        <v>29202540.300000001</v>
      </c>
      <c r="G38" s="137">
        <f t="shared" si="0"/>
        <v>39880.19999999553</v>
      </c>
    </row>
    <row r="39" spans="1:7" s="23" customFormat="1" x14ac:dyDescent="0.25">
      <c r="A39" s="139" t="s">
        <v>3326</v>
      </c>
      <c r="B39" s="137">
        <v>5554362.75</v>
      </c>
      <c r="C39" s="137">
        <v>-1114596.95</v>
      </c>
      <c r="D39" s="137">
        <v>4439765.8</v>
      </c>
      <c r="E39" s="137">
        <v>4376384.63</v>
      </c>
      <c r="F39" s="137">
        <v>3942101.94</v>
      </c>
      <c r="G39" s="137">
        <f t="shared" si="0"/>
        <v>63381.169999999925</v>
      </c>
    </row>
    <row r="40" spans="1:7" s="23" customFormat="1" x14ac:dyDescent="0.25">
      <c r="A40" s="139" t="s">
        <v>3327</v>
      </c>
      <c r="B40" s="137">
        <v>3086339.49</v>
      </c>
      <c r="C40" s="137">
        <v>-1048107.28</v>
      </c>
      <c r="D40" s="137">
        <v>2038232.21</v>
      </c>
      <c r="E40" s="137">
        <v>1953636.13</v>
      </c>
      <c r="F40" s="137">
        <v>1856842.41</v>
      </c>
      <c r="G40" s="137">
        <f t="shared" si="0"/>
        <v>84596.080000000075</v>
      </c>
    </row>
    <row r="41" spans="1:7" s="23" customFormat="1" x14ac:dyDescent="0.25">
      <c r="A41" s="139" t="s">
        <v>3328</v>
      </c>
      <c r="B41" s="137">
        <v>4184500.12</v>
      </c>
      <c r="C41" s="137">
        <v>-300457.15000000002</v>
      </c>
      <c r="D41" s="137">
        <v>3884042.97</v>
      </c>
      <c r="E41" s="137">
        <v>3810676.53</v>
      </c>
      <c r="F41" s="137">
        <v>3490841.88</v>
      </c>
      <c r="G41" s="137">
        <f t="shared" si="0"/>
        <v>73366.44000000041</v>
      </c>
    </row>
    <row r="42" spans="1:7" s="23" customFormat="1" x14ac:dyDescent="0.25">
      <c r="A42" s="139" t="s">
        <v>3329</v>
      </c>
      <c r="B42" s="137">
        <v>2465547.36</v>
      </c>
      <c r="C42" s="137">
        <v>-78238.27</v>
      </c>
      <c r="D42" s="137">
        <v>2387309.09</v>
      </c>
      <c r="E42" s="137">
        <v>2339122.0499999998</v>
      </c>
      <c r="F42" s="137">
        <v>2239008.92</v>
      </c>
      <c r="G42" s="137">
        <f t="shared" si="0"/>
        <v>48187.040000000037</v>
      </c>
    </row>
    <row r="43" spans="1:7" s="23" customFormat="1" x14ac:dyDescent="0.25">
      <c r="A43" s="139" t="s">
        <v>3330</v>
      </c>
      <c r="B43" s="137">
        <v>6344344.29</v>
      </c>
      <c r="C43" s="137">
        <v>11841056.300000001</v>
      </c>
      <c r="D43" s="137">
        <v>18185400.600000001</v>
      </c>
      <c r="E43" s="137">
        <v>18118819.100000001</v>
      </c>
      <c r="F43" s="137">
        <v>16556000</v>
      </c>
      <c r="G43" s="137">
        <f t="shared" si="0"/>
        <v>66581.5</v>
      </c>
    </row>
    <row r="44" spans="1:7" s="23" customFormat="1" x14ac:dyDescent="0.25">
      <c r="A44" s="139" t="s">
        <v>3331</v>
      </c>
      <c r="B44" s="137">
        <v>2661484.62</v>
      </c>
      <c r="C44" s="137">
        <v>-445289.43</v>
      </c>
      <c r="D44" s="137">
        <v>2216195.19</v>
      </c>
      <c r="E44" s="137">
        <v>2144189.31</v>
      </c>
      <c r="F44" s="137">
        <v>1999147.28</v>
      </c>
      <c r="G44" s="137">
        <f t="shared" si="0"/>
        <v>72005.879999999888</v>
      </c>
    </row>
    <row r="45" spans="1:7" s="23" customFormat="1" x14ac:dyDescent="0.25">
      <c r="A45" s="139" t="s">
        <v>3332</v>
      </c>
      <c r="B45" s="137">
        <v>2357922.7599999998</v>
      </c>
      <c r="C45" s="137">
        <v>-511109.68</v>
      </c>
      <c r="D45" s="137">
        <v>1846813.08</v>
      </c>
      <c r="E45" s="137">
        <v>1773837.28</v>
      </c>
      <c r="F45" s="137">
        <v>1627644.46</v>
      </c>
      <c r="G45" s="137">
        <f t="shared" si="0"/>
        <v>72975.800000000047</v>
      </c>
    </row>
    <row r="46" spans="1:7" s="23" customFormat="1" x14ac:dyDescent="0.25">
      <c r="A46" s="139" t="s">
        <v>3333</v>
      </c>
      <c r="B46" s="137">
        <v>2255661.71</v>
      </c>
      <c r="C46" s="137">
        <v>-666166.30000000005</v>
      </c>
      <c r="D46" s="137">
        <v>1589495.41</v>
      </c>
      <c r="E46" s="137">
        <v>1520588.15</v>
      </c>
      <c r="F46" s="137">
        <v>1425272.92</v>
      </c>
      <c r="G46" s="137">
        <f t="shared" si="0"/>
        <v>68907.260000000009</v>
      </c>
    </row>
    <row r="47" spans="1:7" s="23" customFormat="1" x14ac:dyDescent="0.25">
      <c r="A47" s="139" t="s">
        <v>3334</v>
      </c>
      <c r="B47" s="137">
        <v>5629820.1699999999</v>
      </c>
      <c r="C47" s="137">
        <v>188461.39</v>
      </c>
      <c r="D47" s="137">
        <v>5818281.5599999996</v>
      </c>
      <c r="E47" s="137">
        <v>5760925.4699999997</v>
      </c>
      <c r="F47" s="137">
        <v>4291862.37</v>
      </c>
      <c r="G47" s="137">
        <f t="shared" si="0"/>
        <v>57356.089999999851</v>
      </c>
    </row>
    <row r="48" spans="1:7" s="23" customFormat="1" x14ac:dyDescent="0.25">
      <c r="A48" s="139" t="s">
        <v>3335</v>
      </c>
      <c r="B48" s="137">
        <v>395903.01</v>
      </c>
      <c r="C48" s="137">
        <v>-252613.18</v>
      </c>
      <c r="D48" s="137">
        <v>143289.82999999999</v>
      </c>
      <c r="E48" s="137">
        <v>138643.5</v>
      </c>
      <c r="F48" s="137">
        <v>110002.01</v>
      </c>
      <c r="G48" s="137">
        <f t="shared" si="0"/>
        <v>4646.3299999999872</v>
      </c>
    </row>
    <row r="49" spans="1:7" s="23" customFormat="1" x14ac:dyDescent="0.25">
      <c r="A49" s="139" t="s">
        <v>3336</v>
      </c>
      <c r="B49" s="137">
        <v>7319440.8700000001</v>
      </c>
      <c r="C49" s="137">
        <v>-2041528.5</v>
      </c>
      <c r="D49" s="137">
        <v>5277912.37</v>
      </c>
      <c r="E49" s="137">
        <v>5230135.1500000004</v>
      </c>
      <c r="F49" s="137">
        <v>4736387.25</v>
      </c>
      <c r="G49" s="137">
        <f t="shared" si="0"/>
        <v>47777.219999999739</v>
      </c>
    </row>
    <row r="50" spans="1:7" s="23" customFormat="1" x14ac:dyDescent="0.25">
      <c r="A50" s="139" t="s">
        <v>3337</v>
      </c>
      <c r="B50" s="137">
        <v>7857339.4299999997</v>
      </c>
      <c r="C50" s="137">
        <v>5340976.45</v>
      </c>
      <c r="D50" s="137">
        <v>13198315.9</v>
      </c>
      <c r="E50" s="137">
        <v>12130583.699999999</v>
      </c>
      <c r="F50" s="137">
        <v>11306123.1</v>
      </c>
      <c r="G50" s="137">
        <f t="shared" si="0"/>
        <v>1067732.2000000011</v>
      </c>
    </row>
    <row r="51" spans="1:7" s="23" customFormat="1" x14ac:dyDescent="0.25">
      <c r="A51" s="139" t="s">
        <v>3338</v>
      </c>
      <c r="B51" s="137">
        <v>734519.89</v>
      </c>
      <c r="C51" s="137">
        <v>-146143.31</v>
      </c>
      <c r="D51" s="137">
        <v>588376.57999999996</v>
      </c>
      <c r="E51" s="137">
        <v>531654.48</v>
      </c>
      <c r="F51" s="137">
        <v>478514.27</v>
      </c>
      <c r="G51" s="137">
        <f t="shared" si="0"/>
        <v>56722.099999999977</v>
      </c>
    </row>
    <row r="52" spans="1:7" s="23" customFormat="1" x14ac:dyDescent="0.25">
      <c r="A52" s="139" t="s">
        <v>3339</v>
      </c>
      <c r="B52" s="137">
        <v>6348654.8099999996</v>
      </c>
      <c r="C52" s="137">
        <v>-1188324</v>
      </c>
      <c r="D52" s="137">
        <v>5160330.8099999996</v>
      </c>
      <c r="E52" s="137">
        <v>5119297.68</v>
      </c>
      <c r="F52" s="137">
        <v>4786264.45</v>
      </c>
      <c r="G52" s="137">
        <f t="shared" si="0"/>
        <v>41033.129999999888</v>
      </c>
    </row>
    <row r="53" spans="1:7" s="23" customFormat="1" x14ac:dyDescent="0.25">
      <c r="A53" s="139" t="s">
        <v>3340</v>
      </c>
      <c r="B53" s="137">
        <v>2217377.4300000002</v>
      </c>
      <c r="C53" s="137">
        <v>-3433.44</v>
      </c>
      <c r="D53" s="137">
        <v>2213943.9900000002</v>
      </c>
      <c r="E53" s="137">
        <v>2167030.14</v>
      </c>
      <c r="F53" s="137">
        <v>2113027.27</v>
      </c>
      <c r="G53" s="137">
        <f t="shared" si="0"/>
        <v>46913.850000000093</v>
      </c>
    </row>
    <row r="54" spans="1:7" s="23" customFormat="1" x14ac:dyDescent="0.25">
      <c r="A54" s="139" t="s">
        <v>3341</v>
      </c>
      <c r="B54" s="137">
        <v>2794006.39</v>
      </c>
      <c r="C54" s="137">
        <v>701995.95</v>
      </c>
      <c r="D54" s="137">
        <v>3496002.34</v>
      </c>
      <c r="E54" s="137">
        <v>3450528.96</v>
      </c>
      <c r="F54" s="137">
        <v>3007455.31</v>
      </c>
      <c r="G54" s="137">
        <f t="shared" si="0"/>
        <v>45473.379999999888</v>
      </c>
    </row>
    <row r="55" spans="1:7" s="23" customFormat="1" x14ac:dyDescent="0.25">
      <c r="A55" s="139" t="s">
        <v>3342</v>
      </c>
      <c r="B55" s="137">
        <v>4851500</v>
      </c>
      <c r="C55" s="137">
        <v>2028874.08</v>
      </c>
      <c r="D55" s="137">
        <v>6880374.0800000001</v>
      </c>
      <c r="E55" s="137">
        <v>6766425.4400000004</v>
      </c>
      <c r="F55" s="137">
        <v>5003152.8</v>
      </c>
      <c r="G55" s="137">
        <f t="shared" si="0"/>
        <v>113948.63999999966</v>
      </c>
    </row>
    <row r="56" spans="1:7" s="23" customFormat="1" x14ac:dyDescent="0.25">
      <c r="A56" s="139" t="s">
        <v>3343</v>
      </c>
      <c r="B56" s="137">
        <v>935000</v>
      </c>
      <c r="C56" s="137">
        <v>-612513.24</v>
      </c>
      <c r="D56" s="137">
        <v>322486.76</v>
      </c>
      <c r="E56" s="137">
        <v>291809.63</v>
      </c>
      <c r="F56" s="137">
        <v>286398.21000000002</v>
      </c>
      <c r="G56" s="137">
        <f t="shared" si="0"/>
        <v>30677.130000000005</v>
      </c>
    </row>
    <row r="57" spans="1:7" s="23" customFormat="1" x14ac:dyDescent="0.25">
      <c r="A57" s="139" t="s">
        <v>3344</v>
      </c>
      <c r="B57" s="137">
        <v>180000</v>
      </c>
      <c r="C57" s="137">
        <v>-115500</v>
      </c>
      <c r="D57" s="137">
        <v>64500</v>
      </c>
      <c r="E57" s="137">
        <v>31630.720000000001</v>
      </c>
      <c r="F57" s="137">
        <v>18168.34</v>
      </c>
      <c r="G57" s="137">
        <f t="shared" si="0"/>
        <v>32869.279999999999</v>
      </c>
    </row>
    <row r="58" spans="1:7" s="23" customFormat="1" x14ac:dyDescent="0.25">
      <c r="A58" s="139" t="s">
        <v>3345</v>
      </c>
      <c r="B58" s="137">
        <v>352500</v>
      </c>
      <c r="C58" s="137">
        <v>-196384.6</v>
      </c>
      <c r="D58" s="137">
        <v>156115.4</v>
      </c>
      <c r="E58" s="137">
        <v>128809.69</v>
      </c>
      <c r="F58" s="137">
        <v>128453.69</v>
      </c>
      <c r="G58" s="137">
        <f t="shared" si="0"/>
        <v>27305.709999999992</v>
      </c>
    </row>
    <row r="59" spans="1:7" s="23" customFormat="1" x14ac:dyDescent="0.25">
      <c r="A59" s="139" t="s">
        <v>3346</v>
      </c>
      <c r="B59" s="137">
        <v>321000</v>
      </c>
      <c r="C59" s="137">
        <v>-30631.599999999999</v>
      </c>
      <c r="D59" s="137">
        <v>290368.40000000002</v>
      </c>
      <c r="E59" s="137">
        <v>251402.28</v>
      </c>
      <c r="F59" s="137">
        <v>213560.1</v>
      </c>
      <c r="G59" s="137">
        <f t="shared" si="0"/>
        <v>38966.120000000024</v>
      </c>
    </row>
    <row r="60" spans="1:7" s="23" customFormat="1" x14ac:dyDescent="0.25">
      <c r="A60" s="139" t="s">
        <v>3347</v>
      </c>
      <c r="B60" s="137">
        <v>295000</v>
      </c>
      <c r="C60" s="137">
        <v>-172350</v>
      </c>
      <c r="D60" s="137">
        <v>122650</v>
      </c>
      <c r="E60" s="137">
        <v>73222.97</v>
      </c>
      <c r="F60" s="137">
        <v>51027.39</v>
      </c>
      <c r="G60" s="137">
        <f t="shared" si="0"/>
        <v>49427.03</v>
      </c>
    </row>
    <row r="61" spans="1:7" s="23" customFormat="1" x14ac:dyDescent="0.25">
      <c r="A61" s="139" t="s">
        <v>3348</v>
      </c>
      <c r="B61" s="137">
        <v>21800606.699999999</v>
      </c>
      <c r="C61" s="137">
        <v>-589005.53</v>
      </c>
      <c r="D61" s="137">
        <v>21211601.199999999</v>
      </c>
      <c r="E61" s="137">
        <v>21125561.100000001</v>
      </c>
      <c r="F61" s="137">
        <v>14273064.699999999</v>
      </c>
      <c r="G61" s="137">
        <f t="shared" si="0"/>
        <v>86040.099999997765</v>
      </c>
    </row>
    <row r="62" spans="1:7" s="23" customFormat="1" x14ac:dyDescent="0.25">
      <c r="A62" s="139" t="s">
        <v>3349</v>
      </c>
      <c r="B62" s="137">
        <v>5203633.8899999997</v>
      </c>
      <c r="C62" s="137">
        <v>-1318347.04</v>
      </c>
      <c r="D62" s="137">
        <v>3885286.85</v>
      </c>
      <c r="E62" s="137">
        <v>3854391.48</v>
      </c>
      <c r="F62" s="137">
        <v>3476172.03</v>
      </c>
      <c r="G62" s="137">
        <f t="shared" si="0"/>
        <v>30895.370000000112</v>
      </c>
    </row>
    <row r="63" spans="1:7" s="23" customFormat="1" x14ac:dyDescent="0.25">
      <c r="A63" s="139" t="s">
        <v>3350</v>
      </c>
      <c r="B63" s="137">
        <v>1508637.79</v>
      </c>
      <c r="C63" s="137">
        <v>-209490.02</v>
      </c>
      <c r="D63" s="137">
        <v>1299147.77</v>
      </c>
      <c r="E63" s="137">
        <v>1225224.49</v>
      </c>
      <c r="F63" s="137">
        <v>1101697.06</v>
      </c>
      <c r="G63" s="137">
        <f t="shared" ref="G63:G64" si="1">D63-E63</f>
        <v>73923.280000000028</v>
      </c>
    </row>
    <row r="64" spans="1:7" s="23" customFormat="1" x14ac:dyDescent="0.25">
      <c r="A64" s="139" t="s">
        <v>3351</v>
      </c>
      <c r="B64" s="137">
        <v>1030189.9</v>
      </c>
      <c r="C64" s="137">
        <v>210747.79</v>
      </c>
      <c r="D64" s="137">
        <v>1240937.69</v>
      </c>
      <c r="E64" s="137">
        <v>1186612.4099999999</v>
      </c>
      <c r="F64" s="137">
        <v>1093068.19</v>
      </c>
      <c r="G64" s="137">
        <f t="shared" si="1"/>
        <v>54325.280000000028</v>
      </c>
    </row>
    <row r="65" spans="1:7" s="23" customFormat="1" x14ac:dyDescent="0.25">
      <c r="A65" s="138"/>
      <c r="B65" s="137"/>
      <c r="C65" s="137"/>
      <c r="D65" s="137"/>
      <c r="E65" s="137"/>
      <c r="F65" s="137"/>
      <c r="G65" s="137"/>
    </row>
    <row r="66" spans="1:7" x14ac:dyDescent="0.25">
      <c r="A66" s="68" t="s">
        <v>678</v>
      </c>
      <c r="B66" s="52"/>
      <c r="C66" s="52"/>
      <c r="D66" s="52"/>
      <c r="E66" s="52"/>
      <c r="F66" s="52"/>
      <c r="G66" s="52"/>
    </row>
    <row r="67" spans="1:7" s="23" customFormat="1" x14ac:dyDescent="0.25">
      <c r="A67" s="53" t="s">
        <v>433</v>
      </c>
      <c r="B67" s="136">
        <f>SUM(B68:GASTO_E_FIN_01)</f>
        <v>211659985</v>
      </c>
      <c r="C67" s="136">
        <f>SUM(C68:GASTO_E_FIN_02)</f>
        <v>76235451.180000007</v>
      </c>
      <c r="D67" s="136">
        <f>SUM(D68:GASTO_E_FIN_03)</f>
        <v>287895436.17999995</v>
      </c>
      <c r="E67" s="136">
        <f>SUM(E68:GASTO_E_FIN_04)</f>
        <v>243829119.13999996</v>
      </c>
      <c r="F67" s="136">
        <f>SUM(F68:GASTO_E_FIN_05)</f>
        <v>239031286.31999999</v>
      </c>
      <c r="G67" s="136">
        <f>SUM(G68:GASTO_E_FIN_06)</f>
        <v>44066317.039999999</v>
      </c>
    </row>
    <row r="68" spans="1:7" s="23" customFormat="1" x14ac:dyDescent="0.25">
      <c r="A68" s="131" t="s">
        <v>3324</v>
      </c>
      <c r="B68" s="137">
        <v>1130500</v>
      </c>
      <c r="C68" s="137">
        <v>-791654</v>
      </c>
      <c r="D68" s="137">
        <v>338846</v>
      </c>
      <c r="E68" s="137">
        <v>338846</v>
      </c>
      <c r="F68" s="137">
        <v>262219</v>
      </c>
      <c r="G68" s="137">
        <f>D68-E68</f>
        <v>0</v>
      </c>
    </row>
    <row r="69" spans="1:7" s="23" customFormat="1" x14ac:dyDescent="0.25">
      <c r="A69" s="131" t="s">
        <v>3325</v>
      </c>
      <c r="B69" s="137">
        <v>1200000</v>
      </c>
      <c r="C69" s="137">
        <v>-197444.51</v>
      </c>
      <c r="D69" s="137">
        <v>1002555.49</v>
      </c>
      <c r="E69" s="137">
        <v>1002555.39</v>
      </c>
      <c r="F69" s="137">
        <v>978311.39</v>
      </c>
      <c r="G69" s="137">
        <f t="shared" ref="G69:G83" si="2">D69-E69</f>
        <v>9.9999999976716936E-2</v>
      </c>
    </row>
    <row r="70" spans="1:7" s="23" customFormat="1" x14ac:dyDescent="0.25">
      <c r="A70" s="138" t="s">
        <v>3326</v>
      </c>
      <c r="B70" s="137">
        <v>1500000</v>
      </c>
      <c r="C70" s="137">
        <v>1485831.27</v>
      </c>
      <c r="D70" s="137">
        <v>2985831.27</v>
      </c>
      <c r="E70" s="137">
        <v>2985831.17</v>
      </c>
      <c r="F70" s="137">
        <v>2985831.17</v>
      </c>
      <c r="G70" s="137">
        <f t="shared" si="2"/>
        <v>0.10000000009313226</v>
      </c>
    </row>
    <row r="71" spans="1:7" s="23" customFormat="1" x14ac:dyDescent="0.25">
      <c r="A71" s="131" t="s">
        <v>3328</v>
      </c>
      <c r="B71" s="137">
        <v>530000</v>
      </c>
      <c r="C71" s="137">
        <v>589382.22</v>
      </c>
      <c r="D71" s="137">
        <v>1119382.22</v>
      </c>
      <c r="E71" s="137">
        <v>1119382.22</v>
      </c>
      <c r="F71" s="137">
        <v>1119382.22</v>
      </c>
      <c r="G71" s="137">
        <f t="shared" si="2"/>
        <v>0</v>
      </c>
    </row>
    <row r="72" spans="1:7" s="23" customFormat="1" x14ac:dyDescent="0.25">
      <c r="A72" s="138" t="s">
        <v>3329</v>
      </c>
      <c r="B72" s="137">
        <v>0</v>
      </c>
      <c r="C72" s="137">
        <v>0</v>
      </c>
      <c r="D72" s="137">
        <v>0</v>
      </c>
      <c r="E72" s="137">
        <v>0</v>
      </c>
      <c r="F72" s="137">
        <v>0</v>
      </c>
      <c r="G72" s="137">
        <f t="shared" si="2"/>
        <v>0</v>
      </c>
    </row>
    <row r="73" spans="1:7" s="23" customFormat="1" x14ac:dyDescent="0.25">
      <c r="A73" s="138" t="s">
        <v>3330</v>
      </c>
      <c r="B73" s="137">
        <v>2520000</v>
      </c>
      <c r="C73" s="137">
        <v>4503409.5</v>
      </c>
      <c r="D73" s="137">
        <v>7023409.5</v>
      </c>
      <c r="E73" s="137">
        <v>7023409.5</v>
      </c>
      <c r="F73" s="137">
        <v>7023409.5</v>
      </c>
      <c r="G73" s="137">
        <f t="shared" si="2"/>
        <v>0</v>
      </c>
    </row>
    <row r="74" spans="1:7" s="23" customFormat="1" x14ac:dyDescent="0.25">
      <c r="A74" s="138" t="s">
        <v>3336</v>
      </c>
      <c r="B74" s="137">
        <v>0</v>
      </c>
      <c r="C74" s="137">
        <v>7987550.5499999998</v>
      </c>
      <c r="D74" s="137">
        <v>7987550.5499999998</v>
      </c>
      <c r="E74" s="137">
        <v>7987550.5499999998</v>
      </c>
      <c r="F74" s="137">
        <v>7774250.7000000002</v>
      </c>
      <c r="G74" s="137">
        <f t="shared" si="2"/>
        <v>0</v>
      </c>
    </row>
    <row r="75" spans="1:7" s="23" customFormat="1" x14ac:dyDescent="0.25">
      <c r="A75" s="138" t="s">
        <v>3337</v>
      </c>
      <c r="B75" s="137">
        <v>0</v>
      </c>
      <c r="C75" s="137">
        <v>5936875.9400000004</v>
      </c>
      <c r="D75" s="137">
        <v>5936875.9400000004</v>
      </c>
      <c r="E75" s="137">
        <v>4956134.33</v>
      </c>
      <c r="F75" s="137">
        <v>4301913.4000000004</v>
      </c>
      <c r="G75" s="137">
        <f t="shared" si="2"/>
        <v>980741.61000000034</v>
      </c>
    </row>
    <row r="76" spans="1:7" s="23" customFormat="1" x14ac:dyDescent="0.25">
      <c r="A76" s="131" t="s">
        <v>3340</v>
      </c>
      <c r="B76" s="137">
        <v>0</v>
      </c>
      <c r="C76" s="137">
        <v>210572</v>
      </c>
      <c r="D76" s="137">
        <v>210572</v>
      </c>
      <c r="E76" s="137">
        <v>210374.55</v>
      </c>
      <c r="F76" s="137">
        <v>210374.55</v>
      </c>
      <c r="G76" s="137">
        <f t="shared" si="2"/>
        <v>197.45000000001164</v>
      </c>
    </row>
    <row r="77" spans="1:7" s="23" customFormat="1" x14ac:dyDescent="0.25">
      <c r="A77" s="138" t="s">
        <v>3342</v>
      </c>
      <c r="B77" s="137">
        <v>92419532.719999999</v>
      </c>
      <c r="C77" s="137">
        <v>20029794.079999998</v>
      </c>
      <c r="D77" s="137">
        <v>112449326.8</v>
      </c>
      <c r="E77" s="137">
        <v>112438176.27</v>
      </c>
      <c r="F77" s="137">
        <v>112467294.72</v>
      </c>
      <c r="G77" s="137">
        <f t="shared" si="2"/>
        <v>11150.530000001192</v>
      </c>
    </row>
    <row r="78" spans="1:7" s="23" customFormat="1" x14ac:dyDescent="0.25">
      <c r="A78" s="131" t="s">
        <v>3343</v>
      </c>
      <c r="B78" s="137">
        <v>13534132.09</v>
      </c>
      <c r="C78" s="137">
        <v>-7188355.6699999999</v>
      </c>
      <c r="D78" s="137">
        <v>6345776.4199999999</v>
      </c>
      <c r="E78" s="137">
        <v>6345776.4199999999</v>
      </c>
      <c r="F78" s="137">
        <v>6319348.46</v>
      </c>
      <c r="G78" s="137">
        <f t="shared" si="2"/>
        <v>0</v>
      </c>
    </row>
    <row r="79" spans="1:7" s="23" customFormat="1" x14ac:dyDescent="0.25">
      <c r="A79" s="138" t="s">
        <v>3344</v>
      </c>
      <c r="B79" s="137">
        <v>1858978.22</v>
      </c>
      <c r="C79" s="137">
        <v>-1145263.3400000001</v>
      </c>
      <c r="D79" s="137">
        <v>713714.88</v>
      </c>
      <c r="E79" s="137">
        <v>713714.88</v>
      </c>
      <c r="F79" s="137">
        <v>712567.09</v>
      </c>
      <c r="G79" s="137">
        <f t="shared" si="2"/>
        <v>0</v>
      </c>
    </row>
    <row r="80" spans="1:7" s="23" customFormat="1" x14ac:dyDescent="0.25">
      <c r="A80" s="138" t="s">
        <v>3345</v>
      </c>
      <c r="B80" s="137">
        <v>747772.65</v>
      </c>
      <c r="C80" s="137">
        <v>-537830.07999999996</v>
      </c>
      <c r="D80" s="137">
        <v>209942.57</v>
      </c>
      <c r="E80" s="137">
        <v>209942.57</v>
      </c>
      <c r="F80" s="137">
        <v>209942.57</v>
      </c>
      <c r="G80" s="137">
        <f t="shared" si="2"/>
        <v>0</v>
      </c>
    </row>
    <row r="81" spans="1:7" s="23" customFormat="1" x14ac:dyDescent="0.25">
      <c r="A81" s="138" t="s">
        <v>3346</v>
      </c>
      <c r="B81" s="137">
        <v>5269725.75</v>
      </c>
      <c r="C81" s="137">
        <v>181040.03</v>
      </c>
      <c r="D81" s="137">
        <v>5450765.7800000003</v>
      </c>
      <c r="E81" s="137">
        <v>5450765.7800000003</v>
      </c>
      <c r="F81" s="137">
        <v>5437340.4800000004</v>
      </c>
      <c r="G81" s="137">
        <f t="shared" si="2"/>
        <v>0</v>
      </c>
    </row>
    <row r="82" spans="1:7" s="23" customFormat="1" x14ac:dyDescent="0.25">
      <c r="A82" s="131" t="s">
        <v>3347</v>
      </c>
      <c r="B82" s="137">
        <v>1988469.37</v>
      </c>
      <c r="C82" s="137">
        <v>-1957029.52</v>
      </c>
      <c r="D82" s="137">
        <v>31439.85</v>
      </c>
      <c r="E82" s="137">
        <v>31439.85</v>
      </c>
      <c r="F82" s="137">
        <v>31006.71</v>
      </c>
      <c r="G82" s="137">
        <f t="shared" si="2"/>
        <v>0</v>
      </c>
    </row>
    <row r="83" spans="1:7" s="23" customFormat="1" x14ac:dyDescent="0.25">
      <c r="A83" s="131" t="s">
        <v>3348</v>
      </c>
      <c r="B83" s="137">
        <v>88960874.200000003</v>
      </c>
      <c r="C83" s="137">
        <v>47128572.710000001</v>
      </c>
      <c r="D83" s="137">
        <v>136089446.91</v>
      </c>
      <c r="E83" s="137">
        <v>93015219.659999996</v>
      </c>
      <c r="F83" s="137">
        <v>89198094.359999999</v>
      </c>
      <c r="G83" s="137">
        <f t="shared" si="2"/>
        <v>43074227.25</v>
      </c>
    </row>
    <row r="84" spans="1:7" x14ac:dyDescent="0.25">
      <c r="A84" s="68" t="s">
        <v>678</v>
      </c>
      <c r="B84" s="52"/>
      <c r="C84" s="52"/>
      <c r="D84" s="52"/>
      <c r="E84" s="52"/>
      <c r="F84" s="52"/>
      <c r="G84" s="52"/>
    </row>
    <row r="85" spans="1:7" x14ac:dyDescent="0.25">
      <c r="A85" s="53" t="s">
        <v>360</v>
      </c>
      <c r="B85" s="136">
        <f>GASTO_NE_T1+GASTO_E_T1</f>
        <v>594106494.11999989</v>
      </c>
      <c r="C85" s="136">
        <f>GASTO_NE_T2+GASTO_E_T2</f>
        <v>186544322.40000001</v>
      </c>
      <c r="D85" s="136">
        <f>GASTO_NE_T3+GASTO_E_T3</f>
        <v>780650816.74999988</v>
      </c>
      <c r="E85" s="136">
        <f>GASTO_NE_T4+GASTO_E_T4</f>
        <v>732514120.16000009</v>
      </c>
      <c r="F85" s="136">
        <f>GASTO_NE_T5+GASTO_E_T5</f>
        <v>662937556.53999984</v>
      </c>
      <c r="G85" s="136">
        <f>GASTO_NE_T6+GASTO_E_T6</f>
        <v>48136696.589999996</v>
      </c>
    </row>
    <row r="86" spans="1:7" x14ac:dyDescent="0.25">
      <c r="A86" s="56"/>
      <c r="B86" s="63"/>
      <c r="C86" s="63"/>
      <c r="D86" s="63"/>
      <c r="E86" s="63"/>
      <c r="F86" s="63"/>
      <c r="G86" s="69"/>
    </row>
    <row r="87" spans="1:7" ht="14.25" hidden="1" x14ac:dyDescent="0.45">
      <c r="A87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85">
      <formula1>-1.79769313486231E+100</formula1>
      <formula2>1.79769313486231E+100</formula2>
    </dataValidation>
  </dataValidations>
  <pageMargins left="0.27559055118110237" right="0.17" top="0.61" bottom="0.23" header="0.15748031496062992" footer="0.15748031496062992"/>
  <pageSetup scale="5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382446509.11999995</v>
      </c>
      <c r="Q2" s="18">
        <f>GASTO_NE_T2</f>
        <v>110308871.22</v>
      </c>
      <c r="R2" s="18">
        <f>GASTO_NE_T3</f>
        <v>492755380.56999993</v>
      </c>
      <c r="S2" s="18">
        <f>GASTO_NE_T4</f>
        <v>488685001.0200001</v>
      </c>
      <c r="T2" s="18">
        <f>GASTO_NE_T5</f>
        <v>423906270.21999985</v>
      </c>
      <c r="U2" s="18">
        <f>GASTO_NE_T6</f>
        <v>4070379.549999998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211659985</v>
      </c>
      <c r="Q3" s="18">
        <f>GASTO_E_T2</f>
        <v>76235451.180000007</v>
      </c>
      <c r="R3" s="18">
        <f>GASTO_E_T3</f>
        <v>287895436.17999995</v>
      </c>
      <c r="S3" s="18">
        <f>GASTO_E_T4</f>
        <v>243829119.13999996</v>
      </c>
      <c r="T3" s="18">
        <f>GASTO_E_T5</f>
        <v>239031286.31999999</v>
      </c>
      <c r="U3" s="18">
        <f>GASTO_E_T6</f>
        <v>44066317.039999999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594106494.11999989</v>
      </c>
      <c r="Q4" s="18">
        <f>TOTAL_E_T2</f>
        <v>186544322.40000001</v>
      </c>
      <c r="R4" s="18">
        <f>TOTAL_E_T3</f>
        <v>780650816.74999988</v>
      </c>
      <c r="S4" s="18">
        <f>TOTAL_E_T4</f>
        <v>732514120.16000009</v>
      </c>
      <c r="T4" s="18">
        <f>TOTAL_E_T5</f>
        <v>662937556.53999984</v>
      </c>
      <c r="U4" s="18">
        <f>TOTAL_E_T6</f>
        <v>48136696.589999996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2" zoomScale="90" zoomScaleNormal="90" workbookViewId="0">
      <selection activeCell="B16" sqref="B1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69" t="s">
        <v>3281</v>
      </c>
      <c r="B1" s="170"/>
      <c r="C1" s="170"/>
      <c r="D1" s="170"/>
      <c r="E1" s="170"/>
      <c r="F1" s="170"/>
      <c r="G1" s="170"/>
    </row>
    <row r="2" spans="1:7" x14ac:dyDescent="0.25">
      <c r="A2" s="144" t="str">
        <f>ENTE_PUBLICO_A</f>
        <v>MUNICIPIO DE SILAO DE LA VICTORIA, Gobierno del Estado de Guanajuato (a)</v>
      </c>
      <c r="B2" s="145"/>
      <c r="C2" s="145"/>
      <c r="D2" s="145"/>
      <c r="E2" s="145"/>
      <c r="F2" s="145"/>
      <c r="G2" s="146"/>
    </row>
    <row r="3" spans="1:7" x14ac:dyDescent="0.25">
      <c r="A3" s="147" t="s">
        <v>396</v>
      </c>
      <c r="B3" s="148"/>
      <c r="C3" s="148"/>
      <c r="D3" s="148"/>
      <c r="E3" s="148"/>
      <c r="F3" s="148"/>
      <c r="G3" s="149"/>
    </row>
    <row r="4" spans="1:7" x14ac:dyDescent="0.25">
      <c r="A4" s="147" t="s">
        <v>397</v>
      </c>
      <c r="B4" s="148"/>
      <c r="C4" s="148"/>
      <c r="D4" s="148"/>
      <c r="E4" s="148"/>
      <c r="F4" s="148"/>
      <c r="G4" s="149"/>
    </row>
    <row r="5" spans="1:7" x14ac:dyDescent="0.25">
      <c r="A5" s="150" t="str">
        <f>TRIMESTRE</f>
        <v>Del 1 de enero al 31 de diciembre de 2020 (b)</v>
      </c>
      <c r="B5" s="151"/>
      <c r="C5" s="151"/>
      <c r="D5" s="151"/>
      <c r="E5" s="151"/>
      <c r="F5" s="151"/>
      <c r="G5" s="152"/>
    </row>
    <row r="6" spans="1:7" x14ac:dyDescent="0.25">
      <c r="A6" s="153" t="s">
        <v>118</v>
      </c>
      <c r="B6" s="154"/>
      <c r="C6" s="154"/>
      <c r="D6" s="154"/>
      <c r="E6" s="154"/>
      <c r="F6" s="154"/>
      <c r="G6" s="155"/>
    </row>
    <row r="7" spans="1:7" x14ac:dyDescent="0.25">
      <c r="A7" s="148" t="s">
        <v>0</v>
      </c>
      <c r="B7" s="153" t="s">
        <v>279</v>
      </c>
      <c r="C7" s="154"/>
      <c r="D7" s="154"/>
      <c r="E7" s="154"/>
      <c r="F7" s="155"/>
      <c r="G7" s="165" t="s">
        <v>3278</v>
      </c>
    </row>
    <row r="8" spans="1:7" ht="30.75" customHeight="1" x14ac:dyDescent="0.25">
      <c r="A8" s="148"/>
      <c r="B8" s="44" t="s">
        <v>281</v>
      </c>
      <c r="C8" s="43" t="s">
        <v>362</v>
      </c>
      <c r="D8" s="44" t="s">
        <v>283</v>
      </c>
      <c r="E8" s="44" t="s">
        <v>167</v>
      </c>
      <c r="F8" s="45" t="s">
        <v>185</v>
      </c>
      <c r="G8" s="164"/>
    </row>
    <row r="9" spans="1:7" x14ac:dyDescent="0.25">
      <c r="A9" s="50" t="s">
        <v>363</v>
      </c>
      <c r="B9" s="136">
        <f>SUM(B10,B19,B27,B37)</f>
        <v>382446509.12</v>
      </c>
      <c r="C9" s="136">
        <f t="shared" ref="C9:G9" si="0">SUM(C10,C19,C27,C37)</f>
        <v>110308871.14</v>
      </c>
      <c r="D9" s="136">
        <f t="shared" si="0"/>
        <v>492755380.25999993</v>
      </c>
      <c r="E9" s="136">
        <f t="shared" si="0"/>
        <v>488685000.51999998</v>
      </c>
      <c r="F9" s="136">
        <f t="shared" si="0"/>
        <v>423906270.68000007</v>
      </c>
      <c r="G9" s="136">
        <f t="shared" si="0"/>
        <v>4070379.739999983</v>
      </c>
    </row>
    <row r="10" spans="1:7" x14ac:dyDescent="0.25">
      <c r="A10" s="51" t="s">
        <v>364</v>
      </c>
      <c r="B10" s="136">
        <f>SUM(B11:B18)</f>
        <v>222437494.25</v>
      </c>
      <c r="C10" s="136">
        <f t="shared" ref="C10:F10" si="1">SUM(C11:C18)</f>
        <v>17383155.710000001</v>
      </c>
      <c r="D10" s="136">
        <f t="shared" si="1"/>
        <v>239820649.95999998</v>
      </c>
      <c r="E10" s="136">
        <f t="shared" si="1"/>
        <v>238093986.36000001</v>
      </c>
      <c r="F10" s="136">
        <f t="shared" si="1"/>
        <v>200503948.43000001</v>
      </c>
      <c r="G10" s="136">
        <f>SUM(G11:G18)</f>
        <v>1726663.5999999954</v>
      </c>
    </row>
    <row r="11" spans="1:7" x14ac:dyDescent="0.25">
      <c r="A11" s="61" t="s">
        <v>365</v>
      </c>
      <c r="B11" s="137">
        <v>2503978.13</v>
      </c>
      <c r="C11" s="137">
        <v>-774372.14</v>
      </c>
      <c r="D11" s="137">
        <v>1729605.99</v>
      </c>
      <c r="E11" s="137">
        <v>1699626.77</v>
      </c>
      <c r="F11" s="137">
        <v>1559734.97</v>
      </c>
      <c r="G11" s="137">
        <f>D11-E11</f>
        <v>29979.219999999972</v>
      </c>
    </row>
    <row r="12" spans="1:7" x14ac:dyDescent="0.25">
      <c r="A12" s="61" t="s">
        <v>366</v>
      </c>
      <c r="B12" s="137">
        <v>1730206.76</v>
      </c>
      <c r="C12" s="137">
        <v>-559200.43000000005</v>
      </c>
      <c r="D12" s="137">
        <v>1171006.33</v>
      </c>
      <c r="E12" s="137">
        <v>1097461.7</v>
      </c>
      <c r="F12" s="137">
        <v>1017724.22</v>
      </c>
      <c r="G12" s="137">
        <f t="shared" ref="G12:G18" si="2">D12-E12</f>
        <v>73544.630000000121</v>
      </c>
    </row>
    <row r="13" spans="1:7" x14ac:dyDescent="0.25">
      <c r="A13" s="61" t="s">
        <v>367</v>
      </c>
      <c r="B13" s="137">
        <v>57823371.880000003</v>
      </c>
      <c r="C13" s="137">
        <v>-7213110.1299999999</v>
      </c>
      <c r="D13" s="137">
        <v>50610261.75</v>
      </c>
      <c r="E13" s="137">
        <v>50207225.18</v>
      </c>
      <c r="F13" s="137">
        <v>45865905.18</v>
      </c>
      <c r="G13" s="137">
        <f t="shared" si="2"/>
        <v>403036.5700000003</v>
      </c>
    </row>
    <row r="14" spans="1:7" x14ac:dyDescent="0.25">
      <c r="A14" s="61" t="s">
        <v>368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f t="shared" si="2"/>
        <v>0</v>
      </c>
    </row>
    <row r="15" spans="1:7" x14ac:dyDescent="0.25">
      <c r="A15" s="61" t="s">
        <v>369</v>
      </c>
      <c r="B15" s="137">
        <v>88569635.269999996</v>
      </c>
      <c r="C15" s="137">
        <v>3137236.18</v>
      </c>
      <c r="D15" s="137">
        <v>91706871.450000003</v>
      </c>
      <c r="E15" s="137">
        <v>91270054.219999999</v>
      </c>
      <c r="F15" s="137">
        <v>86027209.420000002</v>
      </c>
      <c r="G15" s="137">
        <f t="shared" si="2"/>
        <v>436817.23000000417</v>
      </c>
    </row>
    <row r="16" spans="1:7" x14ac:dyDescent="0.25">
      <c r="A16" s="61" t="s">
        <v>370</v>
      </c>
      <c r="B16" s="137">
        <v>0</v>
      </c>
      <c r="C16" s="137">
        <v>0</v>
      </c>
      <c r="D16" s="137">
        <v>0</v>
      </c>
      <c r="E16" s="137">
        <v>0</v>
      </c>
      <c r="F16" s="137">
        <v>1</v>
      </c>
      <c r="G16" s="137">
        <f t="shared" si="2"/>
        <v>0</v>
      </c>
    </row>
    <row r="17" spans="1:7" x14ac:dyDescent="0.25">
      <c r="A17" s="61" t="s">
        <v>371</v>
      </c>
      <c r="B17" s="137">
        <v>6935000</v>
      </c>
      <c r="C17" s="137">
        <v>901494.64</v>
      </c>
      <c r="D17" s="137">
        <v>7836494.6399999997</v>
      </c>
      <c r="E17" s="137">
        <v>7543300.7300000004</v>
      </c>
      <c r="F17" s="137">
        <v>5700760.5300000003</v>
      </c>
      <c r="G17" s="137">
        <f t="shared" si="2"/>
        <v>293193.90999999922</v>
      </c>
    </row>
    <row r="18" spans="1:7" x14ac:dyDescent="0.25">
      <c r="A18" s="61" t="s">
        <v>372</v>
      </c>
      <c r="B18" s="137">
        <v>64875302.210000001</v>
      </c>
      <c r="C18" s="137">
        <v>21891107.59</v>
      </c>
      <c r="D18" s="137">
        <v>86766409.799999997</v>
      </c>
      <c r="E18" s="137">
        <v>86276317.760000005</v>
      </c>
      <c r="F18" s="137">
        <v>60332613.109999999</v>
      </c>
      <c r="G18" s="137">
        <f t="shared" si="2"/>
        <v>490092.03999999166</v>
      </c>
    </row>
    <row r="19" spans="1:7" x14ac:dyDescent="0.25">
      <c r="A19" s="51" t="s">
        <v>373</v>
      </c>
      <c r="B19" s="136">
        <f>SUM(B20:B26)</f>
        <v>109998826.65000001</v>
      </c>
      <c r="C19" s="136">
        <f t="shared" ref="C19:F19" si="3">SUM(C20:C26)</f>
        <v>25558458.440000001</v>
      </c>
      <c r="D19" s="136">
        <f t="shared" si="3"/>
        <v>135557285.09</v>
      </c>
      <c r="E19" s="136">
        <f t="shared" si="3"/>
        <v>133333279.50999999</v>
      </c>
      <c r="F19" s="136">
        <f t="shared" si="3"/>
        <v>110604247.28</v>
      </c>
      <c r="G19" s="136">
        <f>SUM(G20:G26)</f>
        <v>2224005.58</v>
      </c>
    </row>
    <row r="20" spans="1:7" x14ac:dyDescent="0.25">
      <c r="A20" s="61" t="s">
        <v>374</v>
      </c>
      <c r="B20" s="137">
        <v>2357922.7599999998</v>
      </c>
      <c r="C20" s="137">
        <v>-511109.68</v>
      </c>
      <c r="D20" s="137">
        <v>1846813.08</v>
      </c>
      <c r="E20" s="137">
        <v>1773837.28</v>
      </c>
      <c r="F20" s="137">
        <v>1627644.46</v>
      </c>
      <c r="G20" s="137">
        <f>D20-E20</f>
        <v>72975.800000000047</v>
      </c>
    </row>
    <row r="21" spans="1:7" x14ac:dyDescent="0.25">
      <c r="A21" s="61" t="s">
        <v>375</v>
      </c>
      <c r="B21" s="137">
        <v>93742037.569999993</v>
      </c>
      <c r="C21" s="137">
        <v>26558071.84</v>
      </c>
      <c r="D21" s="137">
        <v>120300109.41</v>
      </c>
      <c r="E21" s="137">
        <v>118410748.55</v>
      </c>
      <c r="F21" s="137">
        <v>96875090.540000007</v>
      </c>
      <c r="G21" s="137">
        <f t="shared" ref="G21:G26" si="4">D21-E21</f>
        <v>1889360.8599999994</v>
      </c>
    </row>
    <row r="22" spans="1:7" x14ac:dyDescent="0.25">
      <c r="A22" s="61" t="s">
        <v>376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f t="shared" si="4"/>
        <v>0</v>
      </c>
    </row>
    <row r="23" spans="1:7" x14ac:dyDescent="0.25">
      <c r="A23" s="61" t="s">
        <v>377</v>
      </c>
      <c r="B23" s="137">
        <v>5011383.82</v>
      </c>
      <c r="C23" s="137">
        <v>698562.51</v>
      </c>
      <c r="D23" s="137">
        <v>5709946.3300000001</v>
      </c>
      <c r="E23" s="137">
        <v>5617559.0999999996</v>
      </c>
      <c r="F23" s="137">
        <v>5120482.58</v>
      </c>
      <c r="G23" s="137">
        <f t="shared" si="4"/>
        <v>92387.230000000447</v>
      </c>
    </row>
    <row r="24" spans="1:7" x14ac:dyDescent="0.25">
      <c r="A24" s="61" t="s">
        <v>378</v>
      </c>
      <c r="B24" s="137">
        <v>6348654.8099999996</v>
      </c>
      <c r="C24" s="137">
        <v>-1188324</v>
      </c>
      <c r="D24" s="137">
        <v>5160330.8099999996</v>
      </c>
      <c r="E24" s="137">
        <v>5119297.68</v>
      </c>
      <c r="F24" s="137">
        <v>4786264.45</v>
      </c>
      <c r="G24" s="137">
        <f t="shared" si="4"/>
        <v>41033.129999999888</v>
      </c>
    </row>
    <row r="25" spans="1:7" x14ac:dyDescent="0.25">
      <c r="A25" s="61" t="s">
        <v>379</v>
      </c>
      <c r="B25" s="137">
        <v>0</v>
      </c>
      <c r="C25" s="137">
        <v>0</v>
      </c>
      <c r="D25" s="137">
        <v>0</v>
      </c>
      <c r="E25" s="137">
        <v>0</v>
      </c>
      <c r="F25" s="137">
        <v>0</v>
      </c>
      <c r="G25" s="137">
        <f t="shared" si="4"/>
        <v>0</v>
      </c>
    </row>
    <row r="26" spans="1:7" x14ac:dyDescent="0.25">
      <c r="A26" s="61" t="s">
        <v>380</v>
      </c>
      <c r="B26" s="137">
        <v>2538827.69</v>
      </c>
      <c r="C26" s="137">
        <v>1257.77</v>
      </c>
      <c r="D26" s="137">
        <v>2540085.46</v>
      </c>
      <c r="E26" s="137">
        <v>2411836.9</v>
      </c>
      <c r="F26" s="137">
        <v>2194765.25</v>
      </c>
      <c r="G26" s="137">
        <f t="shared" si="4"/>
        <v>128248.56000000006</v>
      </c>
    </row>
    <row r="27" spans="1:7" x14ac:dyDescent="0.25">
      <c r="A27" s="51" t="s">
        <v>381</v>
      </c>
      <c r="B27" s="136">
        <f>SUM(B28:B36)</f>
        <v>50010188.219999999</v>
      </c>
      <c r="C27" s="136">
        <f t="shared" ref="C27:F27" si="5">SUM(C28:C36)</f>
        <v>67367256.989999995</v>
      </c>
      <c r="D27" s="136">
        <f t="shared" si="5"/>
        <v>117377445.20999999</v>
      </c>
      <c r="E27" s="136">
        <f t="shared" si="5"/>
        <v>117257734.65000001</v>
      </c>
      <c r="F27" s="136">
        <f t="shared" si="5"/>
        <v>112798074.97</v>
      </c>
      <c r="G27" s="136">
        <f>SUM(G28:G36)</f>
        <v>119710.55999998748</v>
      </c>
    </row>
    <row r="28" spans="1:7" x14ac:dyDescent="0.25">
      <c r="A28" s="65" t="s">
        <v>382</v>
      </c>
      <c r="B28" s="137">
        <v>50010188.219999999</v>
      </c>
      <c r="C28" s="137">
        <v>67367256.989999995</v>
      </c>
      <c r="D28" s="137">
        <v>117377445.20999999</v>
      </c>
      <c r="E28" s="137">
        <v>117257734.65000001</v>
      </c>
      <c r="F28" s="137">
        <v>112798074.97</v>
      </c>
      <c r="G28" s="137">
        <f>D28-E28</f>
        <v>119710.55999998748</v>
      </c>
    </row>
    <row r="29" spans="1:7" x14ac:dyDescent="0.25">
      <c r="A29" s="61" t="s">
        <v>383</v>
      </c>
      <c r="B29" s="137">
        <v>0</v>
      </c>
      <c r="C29" s="137">
        <v>0</v>
      </c>
      <c r="D29" s="137">
        <v>0</v>
      </c>
      <c r="E29" s="137">
        <v>0</v>
      </c>
      <c r="F29" s="137">
        <v>0</v>
      </c>
      <c r="G29" s="137">
        <f t="shared" ref="G29:G36" si="6">D29-E29</f>
        <v>0</v>
      </c>
    </row>
    <row r="30" spans="1:7" x14ac:dyDescent="0.25">
      <c r="A30" s="61" t="s">
        <v>384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f t="shared" si="6"/>
        <v>0</v>
      </c>
    </row>
    <row r="31" spans="1:7" x14ac:dyDescent="0.25">
      <c r="A31" s="61" t="s">
        <v>385</v>
      </c>
      <c r="B31" s="137">
        <v>0</v>
      </c>
      <c r="C31" s="137">
        <v>0</v>
      </c>
      <c r="D31" s="137">
        <v>0</v>
      </c>
      <c r="E31" s="137">
        <v>0</v>
      </c>
      <c r="F31" s="137">
        <v>0</v>
      </c>
      <c r="G31" s="137">
        <f t="shared" si="6"/>
        <v>0</v>
      </c>
    </row>
    <row r="32" spans="1:7" x14ac:dyDescent="0.25">
      <c r="A32" s="61" t="s">
        <v>386</v>
      </c>
      <c r="B32" s="137">
        <v>0</v>
      </c>
      <c r="C32" s="137">
        <v>0</v>
      </c>
      <c r="D32" s="137">
        <v>0</v>
      </c>
      <c r="E32" s="137">
        <v>0</v>
      </c>
      <c r="F32" s="137">
        <v>0</v>
      </c>
      <c r="G32" s="137">
        <f t="shared" si="6"/>
        <v>0</v>
      </c>
    </row>
    <row r="33" spans="1:7" x14ac:dyDescent="0.25">
      <c r="A33" s="61" t="s">
        <v>387</v>
      </c>
      <c r="B33" s="137">
        <v>0</v>
      </c>
      <c r="C33" s="137">
        <v>0</v>
      </c>
      <c r="D33" s="137">
        <v>0</v>
      </c>
      <c r="E33" s="137">
        <v>0</v>
      </c>
      <c r="F33" s="137">
        <v>0</v>
      </c>
      <c r="G33" s="137">
        <f t="shared" si="6"/>
        <v>0</v>
      </c>
    </row>
    <row r="34" spans="1:7" x14ac:dyDescent="0.25">
      <c r="A34" s="61" t="s">
        <v>388</v>
      </c>
      <c r="B34" s="137">
        <v>0</v>
      </c>
      <c r="C34" s="137">
        <v>0</v>
      </c>
      <c r="D34" s="137">
        <v>0</v>
      </c>
      <c r="E34" s="137">
        <v>0</v>
      </c>
      <c r="F34" s="137">
        <v>0</v>
      </c>
      <c r="G34" s="137">
        <f t="shared" si="6"/>
        <v>0</v>
      </c>
    </row>
    <row r="35" spans="1:7" x14ac:dyDescent="0.25">
      <c r="A35" s="61" t="s">
        <v>389</v>
      </c>
      <c r="B35" s="137">
        <v>0</v>
      </c>
      <c r="C35" s="137">
        <v>0</v>
      </c>
      <c r="D35" s="137">
        <v>0</v>
      </c>
      <c r="E35" s="137">
        <v>0</v>
      </c>
      <c r="F35" s="137">
        <v>0</v>
      </c>
      <c r="G35" s="137">
        <f t="shared" si="6"/>
        <v>0</v>
      </c>
    </row>
    <row r="36" spans="1:7" x14ac:dyDescent="0.25">
      <c r="A36" s="61" t="s">
        <v>390</v>
      </c>
      <c r="B36" s="137">
        <v>0</v>
      </c>
      <c r="C36" s="137">
        <v>0</v>
      </c>
      <c r="D36" s="137">
        <v>0</v>
      </c>
      <c r="E36" s="137">
        <v>0</v>
      </c>
      <c r="F36" s="137">
        <v>0</v>
      </c>
      <c r="G36" s="137">
        <f t="shared" si="6"/>
        <v>0</v>
      </c>
    </row>
    <row r="37" spans="1:7" ht="30" x14ac:dyDescent="0.25">
      <c r="A37" s="62" t="s">
        <v>398</v>
      </c>
      <c r="B37" s="136">
        <f>SUM(B38:B41)</f>
        <v>0</v>
      </c>
      <c r="C37" s="136">
        <f t="shared" ref="C37:F37" si="7">SUM(C38:C41)</f>
        <v>0</v>
      </c>
      <c r="D37" s="136">
        <f t="shared" si="7"/>
        <v>0</v>
      </c>
      <c r="E37" s="136">
        <f t="shared" si="7"/>
        <v>0</v>
      </c>
      <c r="F37" s="136">
        <f t="shared" si="7"/>
        <v>0</v>
      </c>
      <c r="G37" s="136">
        <f>SUM(G38:G41)</f>
        <v>0</v>
      </c>
    </row>
    <row r="38" spans="1:7" x14ac:dyDescent="0.25">
      <c r="A38" s="65" t="s">
        <v>391</v>
      </c>
      <c r="B38" s="137">
        <v>0</v>
      </c>
      <c r="C38" s="137">
        <v>0</v>
      </c>
      <c r="D38" s="137">
        <v>0</v>
      </c>
      <c r="E38" s="137">
        <v>0</v>
      </c>
      <c r="F38" s="137">
        <v>0</v>
      </c>
      <c r="G38" s="137">
        <f>D38-E38</f>
        <v>0</v>
      </c>
    </row>
    <row r="39" spans="1:7" ht="30" x14ac:dyDescent="0.25">
      <c r="A39" s="65" t="s">
        <v>392</v>
      </c>
      <c r="B39" s="137">
        <v>0</v>
      </c>
      <c r="C39" s="137">
        <v>0</v>
      </c>
      <c r="D39" s="137">
        <v>0</v>
      </c>
      <c r="E39" s="137">
        <v>0</v>
      </c>
      <c r="F39" s="137">
        <v>0</v>
      </c>
      <c r="G39" s="137">
        <f t="shared" ref="G39:G41" si="8">D39-E39</f>
        <v>0</v>
      </c>
    </row>
    <row r="40" spans="1:7" x14ac:dyDescent="0.25">
      <c r="A40" s="65" t="s">
        <v>393</v>
      </c>
      <c r="B40" s="137">
        <v>0</v>
      </c>
      <c r="C40" s="137">
        <v>0</v>
      </c>
      <c r="D40" s="137">
        <v>0</v>
      </c>
      <c r="E40" s="137">
        <v>0</v>
      </c>
      <c r="F40" s="137">
        <v>0</v>
      </c>
      <c r="G40" s="137">
        <f t="shared" si="8"/>
        <v>0</v>
      </c>
    </row>
    <row r="41" spans="1:7" x14ac:dyDescent="0.25">
      <c r="A41" s="65" t="s">
        <v>394</v>
      </c>
      <c r="B41" s="137">
        <v>0</v>
      </c>
      <c r="C41" s="137">
        <v>0</v>
      </c>
      <c r="D41" s="137">
        <v>0</v>
      </c>
      <c r="E41" s="137">
        <v>0</v>
      </c>
      <c r="F41" s="137">
        <v>0</v>
      </c>
      <c r="G41" s="137">
        <f t="shared" si="8"/>
        <v>0</v>
      </c>
    </row>
    <row r="42" spans="1:7" x14ac:dyDescent="0.25">
      <c r="A42" s="65"/>
      <c r="B42" s="66"/>
      <c r="C42" s="66"/>
      <c r="D42" s="66"/>
      <c r="E42" s="66"/>
      <c r="F42" s="66"/>
      <c r="G42" s="66"/>
    </row>
    <row r="43" spans="1:7" x14ac:dyDescent="0.25">
      <c r="A43" s="53" t="s">
        <v>395</v>
      </c>
      <c r="B43" s="136">
        <f>SUM(B44,B53,B61,B71)</f>
        <v>211659985</v>
      </c>
      <c r="C43" s="136">
        <f t="shared" ref="C43:G43" si="9">SUM(C44,C53,C61,C71)</f>
        <v>76235451.180000007</v>
      </c>
      <c r="D43" s="136">
        <f t="shared" si="9"/>
        <v>287895436.18000001</v>
      </c>
      <c r="E43" s="136">
        <f t="shared" si="9"/>
        <v>243829119.13999999</v>
      </c>
      <c r="F43" s="136">
        <f t="shared" si="9"/>
        <v>239031286.31999999</v>
      </c>
      <c r="G43" s="136">
        <f t="shared" si="9"/>
        <v>44066317.040000007</v>
      </c>
    </row>
    <row r="44" spans="1:7" x14ac:dyDescent="0.25">
      <c r="A44" s="51" t="s">
        <v>430</v>
      </c>
      <c r="B44" s="136">
        <f>SUM(B45:B52)</f>
        <v>115818610.80000001</v>
      </c>
      <c r="C44" s="136">
        <f t="shared" ref="C44:G44" si="10">SUM(C45:C52)</f>
        <v>9414355.5</v>
      </c>
      <c r="D44" s="136">
        <f t="shared" si="10"/>
        <v>125232966.3</v>
      </c>
      <c r="E44" s="136">
        <f t="shared" si="10"/>
        <v>125221815.77</v>
      </c>
      <c r="F44" s="136">
        <f t="shared" si="10"/>
        <v>125209500.03</v>
      </c>
      <c r="G44" s="136">
        <f t="shared" si="10"/>
        <v>11150.530000001192</v>
      </c>
    </row>
    <row r="45" spans="1:7" x14ac:dyDescent="0.25">
      <c r="A45" s="65" t="s">
        <v>365</v>
      </c>
      <c r="B45" s="137">
        <v>0</v>
      </c>
      <c r="C45" s="137">
        <v>0</v>
      </c>
      <c r="D45" s="137">
        <v>0</v>
      </c>
      <c r="E45" s="137">
        <v>0</v>
      </c>
      <c r="F45" s="137">
        <v>0</v>
      </c>
      <c r="G45" s="137">
        <f t="shared" ref="G45:G52" si="11">D45-E45</f>
        <v>0</v>
      </c>
    </row>
    <row r="46" spans="1:7" x14ac:dyDescent="0.25">
      <c r="A46" s="65" t="s">
        <v>366</v>
      </c>
      <c r="B46" s="137">
        <v>0</v>
      </c>
      <c r="C46" s="137">
        <v>0</v>
      </c>
      <c r="D46" s="137">
        <v>0</v>
      </c>
      <c r="E46" s="137">
        <v>0</v>
      </c>
      <c r="F46" s="137">
        <v>0</v>
      </c>
      <c r="G46" s="137">
        <f t="shared" si="11"/>
        <v>0</v>
      </c>
    </row>
    <row r="47" spans="1:7" x14ac:dyDescent="0.25">
      <c r="A47" s="65" t="s">
        <v>367</v>
      </c>
      <c r="B47" s="137">
        <v>0</v>
      </c>
      <c r="C47" s="137">
        <v>0</v>
      </c>
      <c r="D47" s="137">
        <v>0</v>
      </c>
      <c r="E47" s="137">
        <v>0</v>
      </c>
      <c r="F47" s="137">
        <v>0</v>
      </c>
      <c r="G47" s="137">
        <f t="shared" si="11"/>
        <v>0</v>
      </c>
    </row>
    <row r="48" spans="1:7" x14ac:dyDescent="0.25">
      <c r="A48" s="65" t="s">
        <v>368</v>
      </c>
      <c r="B48" s="137"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f t="shared" si="11"/>
        <v>0</v>
      </c>
    </row>
    <row r="49" spans="1:7" x14ac:dyDescent="0.25">
      <c r="A49" s="65" t="s">
        <v>369</v>
      </c>
      <c r="B49" s="137">
        <v>0</v>
      </c>
      <c r="C49" s="137">
        <v>32000</v>
      </c>
      <c r="D49" s="137">
        <v>32000</v>
      </c>
      <c r="E49" s="137">
        <v>32000</v>
      </c>
      <c r="F49" s="137">
        <v>32000</v>
      </c>
      <c r="G49" s="137">
        <f t="shared" si="11"/>
        <v>0</v>
      </c>
    </row>
    <row r="50" spans="1:7" x14ac:dyDescent="0.25">
      <c r="A50" s="65" t="s">
        <v>370</v>
      </c>
      <c r="B50" s="137">
        <v>0</v>
      </c>
      <c r="C50" s="137">
        <v>0</v>
      </c>
      <c r="D50" s="137">
        <v>0</v>
      </c>
      <c r="E50" s="137">
        <v>0</v>
      </c>
      <c r="F50" s="137">
        <v>0</v>
      </c>
      <c r="G50" s="137">
        <f t="shared" si="11"/>
        <v>0</v>
      </c>
    </row>
    <row r="51" spans="1:7" x14ac:dyDescent="0.25">
      <c r="A51" s="65" t="s">
        <v>371</v>
      </c>
      <c r="B51" s="137">
        <v>115818610.80000001</v>
      </c>
      <c r="C51" s="137">
        <v>9382355.5</v>
      </c>
      <c r="D51" s="137">
        <v>125200966.3</v>
      </c>
      <c r="E51" s="137">
        <v>125189815.77</v>
      </c>
      <c r="F51" s="137">
        <v>125177500.03</v>
      </c>
      <c r="G51" s="137">
        <f t="shared" si="11"/>
        <v>11150.530000001192</v>
      </c>
    </row>
    <row r="52" spans="1:7" x14ac:dyDescent="0.25">
      <c r="A52" s="65" t="s">
        <v>372</v>
      </c>
      <c r="B52" s="137">
        <v>0</v>
      </c>
      <c r="C52" s="137">
        <v>0</v>
      </c>
      <c r="D52" s="137">
        <v>0</v>
      </c>
      <c r="E52" s="137">
        <v>0</v>
      </c>
      <c r="F52" s="137">
        <v>0</v>
      </c>
      <c r="G52" s="137">
        <f t="shared" si="11"/>
        <v>0</v>
      </c>
    </row>
    <row r="53" spans="1:7" x14ac:dyDescent="0.25">
      <c r="A53" s="51" t="s">
        <v>373</v>
      </c>
      <c r="B53" s="136">
        <f>SUM(B54:B60)</f>
        <v>95841374.200000003</v>
      </c>
      <c r="C53" s="136">
        <f t="shared" ref="C53:G53" si="12">SUM(C54:C60)</f>
        <v>66821095.68</v>
      </c>
      <c r="D53" s="136">
        <f t="shared" si="12"/>
        <v>162662469.88</v>
      </c>
      <c r="E53" s="136">
        <f t="shared" si="12"/>
        <v>118607303.36999999</v>
      </c>
      <c r="F53" s="136">
        <f t="shared" si="12"/>
        <v>113821786.28999999</v>
      </c>
      <c r="G53" s="136">
        <f t="shared" si="12"/>
        <v>44055166.510000005</v>
      </c>
    </row>
    <row r="54" spans="1:7" x14ac:dyDescent="0.25">
      <c r="A54" s="65" t="s">
        <v>374</v>
      </c>
      <c r="B54" s="137">
        <v>0</v>
      </c>
      <c r="C54" s="137">
        <v>0</v>
      </c>
      <c r="D54" s="137">
        <v>0</v>
      </c>
      <c r="E54" s="137">
        <v>0</v>
      </c>
      <c r="F54" s="137">
        <v>0</v>
      </c>
      <c r="G54" s="137">
        <f t="shared" ref="G54:G60" si="13">D54-E54</f>
        <v>0</v>
      </c>
    </row>
    <row r="55" spans="1:7" x14ac:dyDescent="0.25">
      <c r="A55" s="65" t="s">
        <v>375</v>
      </c>
      <c r="B55" s="137">
        <v>95841374.200000003</v>
      </c>
      <c r="C55" s="137">
        <v>66610523.68</v>
      </c>
      <c r="D55" s="137">
        <v>162451897.88</v>
      </c>
      <c r="E55" s="137">
        <v>118396928.81999999</v>
      </c>
      <c r="F55" s="137">
        <v>113611411.73999999</v>
      </c>
      <c r="G55" s="137">
        <v>44054969.060000002</v>
      </c>
    </row>
    <row r="56" spans="1:7" x14ac:dyDescent="0.25">
      <c r="A56" s="65" t="s">
        <v>376</v>
      </c>
      <c r="B56" s="137">
        <v>0</v>
      </c>
      <c r="C56" s="137">
        <v>0</v>
      </c>
      <c r="D56" s="137">
        <v>0</v>
      </c>
      <c r="E56" s="137">
        <v>0</v>
      </c>
      <c r="F56" s="137">
        <v>0</v>
      </c>
      <c r="G56" s="137">
        <f t="shared" si="13"/>
        <v>0</v>
      </c>
    </row>
    <row r="57" spans="1:7" x14ac:dyDescent="0.25">
      <c r="A57" s="46" t="s">
        <v>377</v>
      </c>
      <c r="B57" s="137">
        <v>0</v>
      </c>
      <c r="C57" s="137">
        <v>210572</v>
      </c>
      <c r="D57" s="137">
        <v>210572</v>
      </c>
      <c r="E57" s="137">
        <v>210374.55</v>
      </c>
      <c r="F57" s="137">
        <v>210374.55</v>
      </c>
      <c r="G57" s="137">
        <v>197.45</v>
      </c>
    </row>
    <row r="58" spans="1:7" x14ac:dyDescent="0.25">
      <c r="A58" s="65" t="s">
        <v>378</v>
      </c>
      <c r="B58" s="137">
        <v>0</v>
      </c>
      <c r="C58" s="137">
        <v>0</v>
      </c>
      <c r="D58" s="137">
        <v>0</v>
      </c>
      <c r="E58" s="137">
        <v>0</v>
      </c>
      <c r="F58" s="137">
        <v>0</v>
      </c>
      <c r="G58" s="137">
        <f t="shared" si="13"/>
        <v>0</v>
      </c>
    </row>
    <row r="59" spans="1:7" x14ac:dyDescent="0.25">
      <c r="A59" s="65" t="s">
        <v>379</v>
      </c>
      <c r="B59" s="137">
        <v>0</v>
      </c>
      <c r="C59" s="137">
        <v>0</v>
      </c>
      <c r="D59" s="137">
        <v>0</v>
      </c>
      <c r="E59" s="137">
        <v>0</v>
      </c>
      <c r="F59" s="137">
        <v>0</v>
      </c>
      <c r="G59" s="137">
        <f t="shared" si="13"/>
        <v>0</v>
      </c>
    </row>
    <row r="60" spans="1:7" x14ac:dyDescent="0.25">
      <c r="A60" s="65" t="s">
        <v>380</v>
      </c>
      <c r="B60" s="137">
        <v>0</v>
      </c>
      <c r="C60" s="137">
        <v>0</v>
      </c>
      <c r="D60" s="137">
        <v>0</v>
      </c>
      <c r="E60" s="137">
        <v>0</v>
      </c>
      <c r="F60" s="137">
        <v>0</v>
      </c>
      <c r="G60" s="137">
        <f t="shared" si="13"/>
        <v>0</v>
      </c>
    </row>
    <row r="61" spans="1:7" x14ac:dyDescent="0.25">
      <c r="A61" s="51" t="s">
        <v>381</v>
      </c>
      <c r="B61" s="136">
        <f>SUM(B62:B70)</f>
        <v>0</v>
      </c>
      <c r="C61" s="136">
        <f t="shared" ref="C61:G61" si="14">SUM(C62:C70)</f>
        <v>0</v>
      </c>
      <c r="D61" s="136">
        <f t="shared" si="14"/>
        <v>0</v>
      </c>
      <c r="E61" s="136">
        <f t="shared" si="14"/>
        <v>0</v>
      </c>
      <c r="F61" s="136">
        <f t="shared" si="14"/>
        <v>0</v>
      </c>
      <c r="G61" s="136">
        <f t="shared" si="14"/>
        <v>0</v>
      </c>
    </row>
    <row r="62" spans="1:7" x14ac:dyDescent="0.25">
      <c r="A62" s="65" t="s">
        <v>382</v>
      </c>
      <c r="B62" s="137">
        <v>0</v>
      </c>
      <c r="C62" s="137">
        <v>0</v>
      </c>
      <c r="D62" s="137">
        <v>0</v>
      </c>
      <c r="E62" s="137">
        <v>0</v>
      </c>
      <c r="F62" s="137">
        <v>0</v>
      </c>
      <c r="G62" s="137">
        <f>D62-E62</f>
        <v>0</v>
      </c>
    </row>
    <row r="63" spans="1:7" x14ac:dyDescent="0.25">
      <c r="A63" s="65" t="s">
        <v>383</v>
      </c>
      <c r="B63" s="137">
        <v>0</v>
      </c>
      <c r="C63" s="137">
        <v>0</v>
      </c>
      <c r="D63" s="137">
        <v>0</v>
      </c>
      <c r="E63" s="137">
        <v>0</v>
      </c>
      <c r="F63" s="137">
        <v>0</v>
      </c>
      <c r="G63" s="137">
        <f t="shared" ref="G63:G70" si="15">D63-E63</f>
        <v>0</v>
      </c>
    </row>
    <row r="64" spans="1:7" x14ac:dyDescent="0.25">
      <c r="A64" s="65" t="s">
        <v>384</v>
      </c>
      <c r="B64" s="137">
        <v>0</v>
      </c>
      <c r="C64" s="137">
        <v>0</v>
      </c>
      <c r="D64" s="137">
        <v>0</v>
      </c>
      <c r="E64" s="137">
        <v>0</v>
      </c>
      <c r="F64" s="137">
        <v>0</v>
      </c>
      <c r="G64" s="137">
        <f t="shared" si="15"/>
        <v>0</v>
      </c>
    </row>
    <row r="65" spans="1:8" x14ac:dyDescent="0.25">
      <c r="A65" s="65" t="s">
        <v>385</v>
      </c>
      <c r="B65" s="137">
        <v>0</v>
      </c>
      <c r="C65" s="137">
        <v>0</v>
      </c>
      <c r="D65" s="137">
        <v>0</v>
      </c>
      <c r="E65" s="137">
        <v>0</v>
      </c>
      <c r="F65" s="137">
        <v>0</v>
      </c>
      <c r="G65" s="137">
        <f t="shared" si="15"/>
        <v>0</v>
      </c>
    </row>
    <row r="66" spans="1:8" x14ac:dyDescent="0.25">
      <c r="A66" s="65" t="s">
        <v>386</v>
      </c>
      <c r="B66" s="137">
        <v>0</v>
      </c>
      <c r="C66" s="137">
        <v>0</v>
      </c>
      <c r="D66" s="137">
        <v>0</v>
      </c>
      <c r="E66" s="137">
        <v>0</v>
      </c>
      <c r="F66" s="137">
        <v>0</v>
      </c>
      <c r="G66" s="137">
        <f t="shared" si="15"/>
        <v>0</v>
      </c>
    </row>
    <row r="67" spans="1:8" x14ac:dyDescent="0.25">
      <c r="A67" s="65" t="s">
        <v>387</v>
      </c>
      <c r="B67" s="137">
        <v>0</v>
      </c>
      <c r="C67" s="137">
        <v>0</v>
      </c>
      <c r="D67" s="137">
        <v>0</v>
      </c>
      <c r="E67" s="137">
        <v>0</v>
      </c>
      <c r="F67" s="137">
        <v>0</v>
      </c>
      <c r="G67" s="137">
        <f t="shared" si="15"/>
        <v>0</v>
      </c>
    </row>
    <row r="68" spans="1:8" x14ac:dyDescent="0.25">
      <c r="A68" s="65" t="s">
        <v>388</v>
      </c>
      <c r="B68" s="137">
        <v>0</v>
      </c>
      <c r="C68" s="137">
        <v>0</v>
      </c>
      <c r="D68" s="137">
        <v>0</v>
      </c>
      <c r="E68" s="137">
        <v>0</v>
      </c>
      <c r="F68" s="137">
        <v>0</v>
      </c>
      <c r="G68" s="137">
        <f t="shared" si="15"/>
        <v>0</v>
      </c>
    </row>
    <row r="69" spans="1:8" x14ac:dyDescent="0.25">
      <c r="A69" s="65" t="s">
        <v>389</v>
      </c>
      <c r="B69" s="137">
        <v>0</v>
      </c>
      <c r="C69" s="137">
        <v>0</v>
      </c>
      <c r="D69" s="137">
        <v>0</v>
      </c>
      <c r="E69" s="137">
        <v>0</v>
      </c>
      <c r="F69" s="137">
        <v>0</v>
      </c>
      <c r="G69" s="137">
        <f t="shared" si="15"/>
        <v>0</v>
      </c>
    </row>
    <row r="70" spans="1:8" x14ac:dyDescent="0.25">
      <c r="A70" s="65" t="s">
        <v>390</v>
      </c>
      <c r="B70" s="137">
        <v>0</v>
      </c>
      <c r="C70" s="137">
        <v>0</v>
      </c>
      <c r="D70" s="137">
        <v>0</v>
      </c>
      <c r="E70" s="137">
        <v>0</v>
      </c>
      <c r="F70" s="137">
        <v>0</v>
      </c>
      <c r="G70" s="137">
        <f t="shared" si="15"/>
        <v>0</v>
      </c>
    </row>
    <row r="71" spans="1:8" x14ac:dyDescent="0.25">
      <c r="A71" s="62" t="s">
        <v>3291</v>
      </c>
      <c r="B71" s="136">
        <f>SUM(B72:B75)</f>
        <v>0</v>
      </c>
      <c r="C71" s="136">
        <f t="shared" ref="C71:F71" si="16">SUM(C72:C75)</f>
        <v>0</v>
      </c>
      <c r="D71" s="136">
        <f t="shared" si="16"/>
        <v>0</v>
      </c>
      <c r="E71" s="136">
        <f t="shared" si="16"/>
        <v>0</v>
      </c>
      <c r="F71" s="136">
        <f t="shared" si="16"/>
        <v>0</v>
      </c>
      <c r="G71" s="136">
        <f>SUM(G72:G75)</f>
        <v>0</v>
      </c>
    </row>
    <row r="72" spans="1:8" x14ac:dyDescent="0.25">
      <c r="A72" s="65" t="s">
        <v>391</v>
      </c>
      <c r="B72" s="137">
        <v>0</v>
      </c>
      <c r="C72" s="137">
        <v>0</v>
      </c>
      <c r="D72" s="137">
        <v>0</v>
      </c>
      <c r="E72" s="137">
        <v>0</v>
      </c>
      <c r="F72" s="137">
        <v>0</v>
      </c>
      <c r="G72" s="137">
        <f>D72-E72</f>
        <v>0</v>
      </c>
    </row>
    <row r="73" spans="1:8" ht="30" x14ac:dyDescent="0.25">
      <c r="A73" s="65" t="s">
        <v>392</v>
      </c>
      <c r="B73" s="137">
        <v>0</v>
      </c>
      <c r="C73" s="137">
        <v>0</v>
      </c>
      <c r="D73" s="137">
        <v>0</v>
      </c>
      <c r="E73" s="137">
        <v>0</v>
      </c>
      <c r="F73" s="137">
        <v>0</v>
      </c>
      <c r="G73" s="137">
        <f t="shared" ref="G73:G75" si="17">D73-E73</f>
        <v>0</v>
      </c>
    </row>
    <row r="74" spans="1:8" x14ac:dyDescent="0.25">
      <c r="A74" s="65" t="s">
        <v>393</v>
      </c>
      <c r="B74" s="137">
        <v>0</v>
      </c>
      <c r="C74" s="137">
        <v>0</v>
      </c>
      <c r="D74" s="137">
        <v>0</v>
      </c>
      <c r="E74" s="137">
        <v>0</v>
      </c>
      <c r="F74" s="137">
        <v>0</v>
      </c>
      <c r="G74" s="137">
        <f t="shared" si="17"/>
        <v>0</v>
      </c>
    </row>
    <row r="75" spans="1:8" x14ac:dyDescent="0.25">
      <c r="A75" s="65" t="s">
        <v>394</v>
      </c>
      <c r="B75" s="137">
        <v>0</v>
      </c>
      <c r="C75" s="137">
        <v>0</v>
      </c>
      <c r="D75" s="137">
        <v>0</v>
      </c>
      <c r="E75" s="137">
        <v>0</v>
      </c>
      <c r="F75" s="137">
        <v>0</v>
      </c>
      <c r="G75" s="137">
        <f t="shared" si="17"/>
        <v>0</v>
      </c>
    </row>
    <row r="76" spans="1:8" x14ac:dyDescent="0.25">
      <c r="A76" s="52"/>
      <c r="B76" s="67"/>
      <c r="C76" s="67"/>
      <c r="D76" s="67"/>
      <c r="E76" s="67"/>
      <c r="F76" s="67"/>
      <c r="G76" s="67"/>
    </row>
    <row r="77" spans="1:8" x14ac:dyDescent="0.25">
      <c r="A77" s="53" t="s">
        <v>360</v>
      </c>
      <c r="B77" s="136">
        <f>B43+B9</f>
        <v>594106494.12</v>
      </c>
      <c r="C77" s="136">
        <f t="shared" ref="C77:F77" si="18">C43+C9</f>
        <v>186544322.31999999</v>
      </c>
      <c r="D77" s="136">
        <f t="shared" si="18"/>
        <v>780650816.43999994</v>
      </c>
      <c r="E77" s="136">
        <f t="shared" si="18"/>
        <v>732514119.65999997</v>
      </c>
      <c r="F77" s="136">
        <f t="shared" si="18"/>
        <v>662937557</v>
      </c>
      <c r="G77" s="136">
        <f>G43+G9</f>
        <v>48136696.779999986</v>
      </c>
    </row>
    <row r="78" spans="1:8" x14ac:dyDescent="0.25">
      <c r="A78" s="56"/>
      <c r="B78" s="47"/>
      <c r="C78" s="47"/>
      <c r="D78" s="47"/>
      <c r="E78" s="47"/>
      <c r="F78" s="47"/>
      <c r="G78" s="47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17" right="0.17" top="0.74803149606299213" bottom="0.74803149606299213" header="0.31496062992125984" footer="0.31496062992125984"/>
  <pageSetup scale="5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382446509.12</v>
      </c>
      <c r="Q2" s="18">
        <f>'Formato 6 c)'!C9</f>
        <v>110308871.14</v>
      </c>
      <c r="R2" s="18">
        <f>'Formato 6 c)'!D9</f>
        <v>492755380.25999993</v>
      </c>
      <c r="S2" s="18">
        <f>'Formato 6 c)'!E9</f>
        <v>488685000.51999998</v>
      </c>
      <c r="T2" s="18">
        <f>'Formato 6 c)'!F9</f>
        <v>423906270.68000007</v>
      </c>
      <c r="U2" s="18">
        <f>'Formato 6 c)'!G9</f>
        <v>4070379.739999983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222437494.25</v>
      </c>
      <c r="Q3" s="18">
        <f>'Formato 6 c)'!C10</f>
        <v>17383155.710000001</v>
      </c>
      <c r="R3" s="18">
        <f>'Formato 6 c)'!D10</f>
        <v>239820649.95999998</v>
      </c>
      <c r="S3" s="18">
        <f>'Formato 6 c)'!E10</f>
        <v>238093986.36000001</v>
      </c>
      <c r="T3" s="18">
        <f>'Formato 6 c)'!F10</f>
        <v>200503948.43000001</v>
      </c>
      <c r="U3" s="18">
        <f>'Formato 6 c)'!G10</f>
        <v>1726663.5999999954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2503978.13</v>
      </c>
      <c r="Q4" s="18">
        <f>'Formato 6 c)'!C11</f>
        <v>-774372.14</v>
      </c>
      <c r="R4" s="18">
        <f>'Formato 6 c)'!D11</f>
        <v>1729605.99</v>
      </c>
      <c r="S4" s="18">
        <f>'Formato 6 c)'!E11</f>
        <v>1699626.77</v>
      </c>
      <c r="T4" s="18">
        <f>'Formato 6 c)'!F11</f>
        <v>1559734.97</v>
      </c>
      <c r="U4" s="18">
        <f>'Formato 6 c)'!G11</f>
        <v>29979.219999999972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1730206.76</v>
      </c>
      <c r="Q5" s="18">
        <f>'Formato 6 c)'!C12</f>
        <v>-559200.43000000005</v>
      </c>
      <c r="R5" s="18">
        <f>'Formato 6 c)'!D12</f>
        <v>1171006.33</v>
      </c>
      <c r="S5" s="18">
        <f>'Formato 6 c)'!E12</f>
        <v>1097461.7</v>
      </c>
      <c r="T5" s="18">
        <f>'Formato 6 c)'!F12</f>
        <v>1017724.22</v>
      </c>
      <c r="U5" s="18">
        <f>'Formato 6 c)'!G12</f>
        <v>73544.630000000121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57823371.880000003</v>
      </c>
      <c r="Q6" s="18">
        <f>'Formato 6 c)'!C13</f>
        <v>-7213110.1299999999</v>
      </c>
      <c r="R6" s="18">
        <f>'Formato 6 c)'!D13</f>
        <v>50610261.75</v>
      </c>
      <c r="S6" s="18">
        <f>'Formato 6 c)'!E13</f>
        <v>50207225.18</v>
      </c>
      <c r="T6" s="18">
        <f>'Formato 6 c)'!F13</f>
        <v>45865905.18</v>
      </c>
      <c r="U6" s="18">
        <f>'Formato 6 c)'!G13</f>
        <v>403036.5700000003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88569635.269999996</v>
      </c>
      <c r="Q8" s="18">
        <f>'Formato 6 c)'!C15</f>
        <v>3137236.18</v>
      </c>
      <c r="R8" s="18">
        <f>'Formato 6 c)'!D15</f>
        <v>91706871.450000003</v>
      </c>
      <c r="S8" s="18">
        <f>'Formato 6 c)'!E15</f>
        <v>91270054.219999999</v>
      </c>
      <c r="T8" s="18">
        <f>'Formato 6 c)'!F15</f>
        <v>86027209.420000002</v>
      </c>
      <c r="U8" s="18">
        <f>'Formato 6 c)'!G15</f>
        <v>436817.23000000417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1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6935000</v>
      </c>
      <c r="Q10" s="18">
        <f>'Formato 6 c)'!C17</f>
        <v>901494.64</v>
      </c>
      <c r="R10" s="18">
        <f>'Formato 6 c)'!D17</f>
        <v>7836494.6399999997</v>
      </c>
      <c r="S10" s="18">
        <f>'Formato 6 c)'!E17</f>
        <v>7543300.7300000004</v>
      </c>
      <c r="T10" s="18">
        <f>'Formato 6 c)'!F17</f>
        <v>5700760.5300000003</v>
      </c>
      <c r="U10" s="18">
        <f>'Formato 6 c)'!G17</f>
        <v>293193.90999999922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64875302.210000001</v>
      </c>
      <c r="Q11" s="18">
        <f>'Formato 6 c)'!C18</f>
        <v>21891107.59</v>
      </c>
      <c r="R11" s="18">
        <f>'Formato 6 c)'!D18</f>
        <v>86766409.799999997</v>
      </c>
      <c r="S11" s="18">
        <f>'Formato 6 c)'!E18</f>
        <v>86276317.760000005</v>
      </c>
      <c r="T11" s="18">
        <f>'Formato 6 c)'!F18</f>
        <v>60332613.109999999</v>
      </c>
      <c r="U11" s="18">
        <f>'Formato 6 c)'!G18</f>
        <v>490092.03999999166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109998826.65000001</v>
      </c>
      <c r="Q12" s="18">
        <f>'Formato 6 c)'!C19</f>
        <v>25558458.440000001</v>
      </c>
      <c r="R12" s="18">
        <f>'Formato 6 c)'!D19</f>
        <v>135557285.09</v>
      </c>
      <c r="S12" s="18">
        <f>'Formato 6 c)'!E19</f>
        <v>133333279.50999999</v>
      </c>
      <c r="T12" s="18">
        <f>'Formato 6 c)'!F19</f>
        <v>110604247.28</v>
      </c>
      <c r="U12" s="18">
        <f>'Formato 6 c)'!G19</f>
        <v>2224005.58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2357922.7599999998</v>
      </c>
      <c r="Q13" s="18">
        <f>'Formato 6 c)'!C20</f>
        <v>-511109.68</v>
      </c>
      <c r="R13" s="18">
        <f>'Formato 6 c)'!D20</f>
        <v>1846813.08</v>
      </c>
      <c r="S13" s="18">
        <f>'Formato 6 c)'!E20</f>
        <v>1773837.28</v>
      </c>
      <c r="T13" s="18">
        <f>'Formato 6 c)'!F20</f>
        <v>1627644.46</v>
      </c>
      <c r="U13" s="18">
        <f>'Formato 6 c)'!G20</f>
        <v>72975.800000000047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93742037.569999993</v>
      </c>
      <c r="Q14" s="18">
        <f>'Formato 6 c)'!C21</f>
        <v>26558071.84</v>
      </c>
      <c r="R14" s="18">
        <f>'Formato 6 c)'!D21</f>
        <v>120300109.41</v>
      </c>
      <c r="S14" s="18">
        <f>'Formato 6 c)'!E21</f>
        <v>118410748.55</v>
      </c>
      <c r="T14" s="18">
        <f>'Formato 6 c)'!F21</f>
        <v>96875090.540000007</v>
      </c>
      <c r="U14" s="18">
        <f>'Formato 6 c)'!G21</f>
        <v>1889360.8599999994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5011383.82</v>
      </c>
      <c r="Q16" s="18">
        <f>'Formato 6 c)'!C23</f>
        <v>698562.51</v>
      </c>
      <c r="R16" s="18">
        <f>'Formato 6 c)'!D23</f>
        <v>5709946.3300000001</v>
      </c>
      <c r="S16" s="18">
        <f>'Formato 6 c)'!E23</f>
        <v>5617559.0999999996</v>
      </c>
      <c r="T16" s="18">
        <f>'Formato 6 c)'!F23</f>
        <v>5120482.58</v>
      </c>
      <c r="U16" s="18">
        <f>'Formato 6 c)'!G23</f>
        <v>92387.230000000447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6348654.8099999996</v>
      </c>
      <c r="Q17" s="18">
        <f>'Formato 6 c)'!C24</f>
        <v>-1188324</v>
      </c>
      <c r="R17" s="18">
        <f>'Formato 6 c)'!D24</f>
        <v>5160330.8099999996</v>
      </c>
      <c r="S17" s="18">
        <f>'Formato 6 c)'!E24</f>
        <v>5119297.68</v>
      </c>
      <c r="T17" s="18">
        <f>'Formato 6 c)'!F24</f>
        <v>4786264.45</v>
      </c>
      <c r="U17" s="18">
        <f>'Formato 6 c)'!G24</f>
        <v>41033.129999999888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2538827.69</v>
      </c>
      <c r="Q19" s="18">
        <f>'Formato 6 c)'!C26</f>
        <v>1257.77</v>
      </c>
      <c r="R19" s="18">
        <f>'Formato 6 c)'!D26</f>
        <v>2540085.46</v>
      </c>
      <c r="S19" s="18">
        <f>'Formato 6 c)'!E26</f>
        <v>2411836.9</v>
      </c>
      <c r="T19" s="18">
        <f>'Formato 6 c)'!F26</f>
        <v>2194765.25</v>
      </c>
      <c r="U19" s="18">
        <f>'Formato 6 c)'!G26</f>
        <v>128248.56000000006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50010188.219999999</v>
      </c>
      <c r="Q20" s="18">
        <f>'Formato 6 c)'!C27</f>
        <v>67367256.989999995</v>
      </c>
      <c r="R20" s="18">
        <f>'Formato 6 c)'!D27</f>
        <v>117377445.20999999</v>
      </c>
      <c r="S20" s="18">
        <f>'Formato 6 c)'!E27</f>
        <v>117257734.65000001</v>
      </c>
      <c r="T20" s="18">
        <f>'Formato 6 c)'!F27</f>
        <v>112798074.97</v>
      </c>
      <c r="U20" s="18">
        <f>'Formato 6 c)'!G27</f>
        <v>119710.55999998748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50010188.219999999</v>
      </c>
      <c r="Q21" s="18">
        <f>'Formato 6 c)'!C28</f>
        <v>67367256.989999995</v>
      </c>
      <c r="R21" s="18">
        <f>'Formato 6 c)'!D28</f>
        <v>117377445.20999999</v>
      </c>
      <c r="S21" s="18">
        <f>'Formato 6 c)'!E28</f>
        <v>117257734.65000001</v>
      </c>
      <c r="T21" s="18">
        <f>'Formato 6 c)'!F28</f>
        <v>112798074.97</v>
      </c>
      <c r="U21" s="18">
        <f>'Formato 6 c)'!G28</f>
        <v>119710.55999998748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211659985</v>
      </c>
      <c r="Q35" s="18">
        <f>'Formato 6 c)'!C43</f>
        <v>76235451.180000007</v>
      </c>
      <c r="R35" s="18">
        <f>'Formato 6 c)'!D43</f>
        <v>287895436.18000001</v>
      </c>
      <c r="S35" s="18">
        <f>'Formato 6 c)'!E43</f>
        <v>243829119.13999999</v>
      </c>
      <c r="T35" s="18">
        <f>'Formato 6 c)'!F43</f>
        <v>239031286.31999999</v>
      </c>
      <c r="U35" s="18">
        <f>'Formato 6 c)'!G43</f>
        <v>44066317.040000007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115818610.80000001</v>
      </c>
      <c r="Q36" s="18">
        <f>'Formato 6 c)'!C44</f>
        <v>9414355.5</v>
      </c>
      <c r="R36" s="18">
        <f>'Formato 6 c)'!D44</f>
        <v>125232966.3</v>
      </c>
      <c r="S36" s="18">
        <f>'Formato 6 c)'!E44</f>
        <v>125221815.77</v>
      </c>
      <c r="T36" s="18">
        <f>'Formato 6 c)'!F44</f>
        <v>125209500.03</v>
      </c>
      <c r="U36" s="18">
        <f>'Formato 6 c)'!G44</f>
        <v>11150.530000001192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32000</v>
      </c>
      <c r="R41" s="18">
        <f>'Formato 6 c)'!D49</f>
        <v>32000</v>
      </c>
      <c r="S41" s="18">
        <f>'Formato 6 c)'!E49</f>
        <v>32000</v>
      </c>
      <c r="T41" s="18">
        <f>'Formato 6 c)'!F49</f>
        <v>32000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115818610.80000001</v>
      </c>
      <c r="Q43" s="18">
        <f>'Formato 6 c)'!C51</f>
        <v>9382355.5</v>
      </c>
      <c r="R43" s="18">
        <f>'Formato 6 c)'!D51</f>
        <v>125200966.3</v>
      </c>
      <c r="S43" s="18">
        <f>'Formato 6 c)'!E51</f>
        <v>125189815.77</v>
      </c>
      <c r="T43" s="18">
        <f>'Formato 6 c)'!F51</f>
        <v>125177500.03</v>
      </c>
      <c r="U43" s="18">
        <f>'Formato 6 c)'!G51</f>
        <v>11150.530000001192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95841374.200000003</v>
      </c>
      <c r="Q45" s="18">
        <f>'Formato 6 c)'!C53</f>
        <v>66821095.68</v>
      </c>
      <c r="R45" s="18">
        <f>'Formato 6 c)'!D53</f>
        <v>162662469.88</v>
      </c>
      <c r="S45" s="18">
        <f>'Formato 6 c)'!E53</f>
        <v>118607303.36999999</v>
      </c>
      <c r="T45" s="18">
        <f>'Formato 6 c)'!F53</f>
        <v>113821786.28999999</v>
      </c>
      <c r="U45" s="18">
        <f>'Formato 6 c)'!G53</f>
        <v>44055166.510000005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95841374.200000003</v>
      </c>
      <c r="Q47" s="18">
        <f>'Formato 6 c)'!C55</f>
        <v>66610523.68</v>
      </c>
      <c r="R47" s="18">
        <f>'Formato 6 c)'!D55</f>
        <v>162451897.88</v>
      </c>
      <c r="S47" s="18">
        <f>'Formato 6 c)'!E55</f>
        <v>118396928.81999999</v>
      </c>
      <c r="T47" s="18">
        <f>'Formato 6 c)'!F55</f>
        <v>113611411.73999999</v>
      </c>
      <c r="U47" s="18">
        <f>'Formato 6 c)'!G55</f>
        <v>44054969.060000002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210572</v>
      </c>
      <c r="R49" s="18">
        <f>'Formato 6 c)'!D57</f>
        <v>210572</v>
      </c>
      <c r="S49" s="18">
        <f>'Formato 6 c)'!E57</f>
        <v>210374.55</v>
      </c>
      <c r="T49" s="18">
        <f>'Formato 6 c)'!F57</f>
        <v>210374.55</v>
      </c>
      <c r="U49" s="18">
        <f>'Formato 6 c)'!G57</f>
        <v>197.45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594106494.12</v>
      </c>
      <c r="Q68" s="18">
        <f>'Formato 6 c)'!C77</f>
        <v>186544322.31999999</v>
      </c>
      <c r="R68" s="18">
        <f>'Formato 6 c)'!D77</f>
        <v>780650816.43999994</v>
      </c>
      <c r="S68" s="18">
        <f>'Formato 6 c)'!E77</f>
        <v>732514119.65999997</v>
      </c>
      <c r="T68" s="18">
        <f>'Formato 6 c)'!F77</f>
        <v>662937557</v>
      </c>
      <c r="U68" s="18">
        <f>'Formato 6 c)'!G77</f>
        <v>48136696.779999986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3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SILAO DE LA VICTORIA, Gobierno del Estado de Guanajuato</v>
      </c>
    </row>
    <row r="7" spans="2:3" ht="14.25" x14ac:dyDescent="0.45">
      <c r="C7" t="str">
        <f>CONCATENATE(ENTE_PUBLICO," (a)")</f>
        <v>MUNICIPIO DE SILAO DE LA VICTORIA, Gobierno del Estado de Guanajuato (a)</v>
      </c>
    </row>
    <row r="8" spans="2:3" ht="27" customHeight="1" x14ac:dyDescent="0.45">
      <c r="B8" t="s">
        <v>787</v>
      </c>
      <c r="C8" s="23" t="s">
        <v>799</v>
      </c>
    </row>
    <row r="10" spans="2:3" ht="25.5" customHeight="1" x14ac:dyDescent="0.45">
      <c r="B10" t="s">
        <v>788</v>
      </c>
      <c r="C10" s="23" t="s">
        <v>3127</v>
      </c>
    </row>
    <row r="11" spans="2:3" ht="20.25" customHeight="1" x14ac:dyDescent="0.45">
      <c r="C11" s="23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Gobierno del Estado de Guanajuato</v>
      </c>
    </row>
    <row r="12" spans="2:3" x14ac:dyDescent="0.25">
      <c r="B12" t="s">
        <v>786</v>
      </c>
      <c r="C12" s="23">
        <v>2020</v>
      </c>
    </row>
    <row r="14" spans="2:3" ht="14.25" x14ac:dyDescent="0.45">
      <c r="B14" t="s">
        <v>785</v>
      </c>
      <c r="C14" s="23" t="s">
        <v>3352</v>
      </c>
    </row>
    <row r="15" spans="2:3" ht="14.25" x14ac:dyDescent="0.45">
      <c r="C15" s="23">
        <v>4</v>
      </c>
    </row>
    <row r="16" spans="2:3" ht="14.25" x14ac:dyDescent="0.45">
      <c r="C16" s="23" t="s">
        <v>3353</v>
      </c>
    </row>
    <row r="18" spans="4:9" ht="135" x14ac:dyDescent="0.25">
      <c r="D18" s="31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31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31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0" t="str">
        <f>CONCATENATE("Saldo al 31 de diciembre de ",ANIO_INFORME-1, " (d)")</f>
        <v>Saldo al 31 de diciembre de 2019 (d)</v>
      </c>
    </row>
    <row r="23" spans="4:9" ht="14.25" x14ac:dyDescent="0.45">
      <c r="D23" s="32">
        <f>ANIO_INFORME + 1</f>
        <v>2021</v>
      </c>
      <c r="E23" s="33" t="str">
        <f>CONCATENATE(ANIO_INFORME + 2, " (d)")</f>
        <v>2022 (d)</v>
      </c>
      <c r="F23" s="33" t="str">
        <f>CONCATENATE(ANIO_INFORME + 3, " (d)")</f>
        <v>2023 (d)</v>
      </c>
      <c r="G23" s="33" t="str">
        <f>CONCATENATE(ANIO_INFORME + 4, " (d)")</f>
        <v>2024 (d)</v>
      </c>
      <c r="H23" s="33" t="str">
        <f>CONCATENATE(ANIO_INFORME + 5, " (d)")</f>
        <v>2025 (d)</v>
      </c>
      <c r="I23" s="33" t="str">
        <f>CONCATENATE(ANIO_INFORME + 6, " (d)")</f>
        <v>2026 (d)</v>
      </c>
    </row>
    <row r="25" spans="4:9" x14ac:dyDescent="0.25">
      <c r="D25" s="34" t="str">
        <f>CONCATENATE(ANIO_INFORME - 5, " ",CHAR(185)," (c)")</f>
        <v>2015 ¹ (c)</v>
      </c>
      <c r="E25" s="34" t="str">
        <f>CONCATENATE(ANIO_INFORME - 4, " ",CHAR(185)," (c)")</f>
        <v>2016 ¹ (c)</v>
      </c>
      <c r="F25" s="34" t="str">
        <f>CONCATENATE(ANIO_INFORME - 3, " ",CHAR(185)," (c)")</f>
        <v>2017 ¹ (c)</v>
      </c>
      <c r="G25" s="34" t="str">
        <f>CONCATENATE(ANIO_INFORME - 2, " ",CHAR(185)," (c)")</f>
        <v>2018 ¹ (c)</v>
      </c>
      <c r="H25" s="34" t="str">
        <f>CONCATENATE(ANIO_INFORME - 1, " ",CHAR(185)," (c)")</f>
        <v>2019 ¹ (c)</v>
      </c>
      <c r="I25" s="32">
        <f>ANIO_INFORME</f>
        <v>2020</v>
      </c>
    </row>
    <row r="26" spans="4:9" ht="14.25" x14ac:dyDescent="0.45">
      <c r="D26" s="82"/>
    </row>
    <row r="29" spans="4:9" ht="14.25" x14ac:dyDescent="0.45">
      <c r="D29" t="s">
        <v>3135</v>
      </c>
      <c r="E29" t="s">
        <v>3136</v>
      </c>
    </row>
    <row r="30" spans="4:9" ht="14.25" x14ac:dyDescent="0.45">
      <c r="D30" s="127">
        <v>-1.7976931348623099E+100</v>
      </c>
      <c r="E30" s="127">
        <v>1.7976931348623099E+100</v>
      </c>
    </row>
    <row r="32" spans="4:9" ht="14.25" x14ac:dyDescent="0.45">
      <c r="D32" t="s">
        <v>3137</v>
      </c>
      <c r="E32" t="s">
        <v>3138</v>
      </c>
    </row>
    <row r="33" spans="4:5" ht="14.25" x14ac:dyDescent="0.45">
      <c r="D33" s="128">
        <v>36526</v>
      </c>
      <c r="E33" s="128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16" sqref="A16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63" t="s">
        <v>3279</v>
      </c>
      <c r="B1" s="162"/>
      <c r="C1" s="162"/>
      <c r="D1" s="162"/>
      <c r="E1" s="162"/>
      <c r="F1" s="162"/>
      <c r="G1" s="162"/>
    </row>
    <row r="2" spans="1:7" ht="14.25" x14ac:dyDescent="0.45">
      <c r="A2" s="144" t="str">
        <f>ENTE_PUBLICO_A</f>
        <v>MUNICIPIO DE SILAO DE LA VICTORIA, Gobierno del Estado de Guanajuato (a)</v>
      </c>
      <c r="B2" s="145"/>
      <c r="C2" s="145"/>
      <c r="D2" s="145"/>
      <c r="E2" s="145"/>
      <c r="F2" s="145"/>
      <c r="G2" s="146"/>
    </row>
    <row r="3" spans="1:7" x14ac:dyDescent="0.25">
      <c r="A3" s="150" t="s">
        <v>277</v>
      </c>
      <c r="B3" s="151"/>
      <c r="C3" s="151"/>
      <c r="D3" s="151"/>
      <c r="E3" s="151"/>
      <c r="F3" s="151"/>
      <c r="G3" s="152"/>
    </row>
    <row r="4" spans="1:7" x14ac:dyDescent="0.25">
      <c r="A4" s="150" t="s">
        <v>399</v>
      </c>
      <c r="B4" s="151"/>
      <c r="C4" s="151"/>
      <c r="D4" s="151"/>
      <c r="E4" s="151"/>
      <c r="F4" s="151"/>
      <c r="G4" s="152"/>
    </row>
    <row r="5" spans="1:7" ht="14.25" x14ac:dyDescent="0.45">
      <c r="A5" s="150" t="str">
        <f>TRIMESTRE</f>
        <v>Del 1 de enero al 31 de diciembre de 2020 (b)</v>
      </c>
      <c r="B5" s="151"/>
      <c r="C5" s="151"/>
      <c r="D5" s="151"/>
      <c r="E5" s="151"/>
      <c r="F5" s="151"/>
      <c r="G5" s="152"/>
    </row>
    <row r="6" spans="1:7" ht="14.25" x14ac:dyDescent="0.45">
      <c r="A6" s="153" t="s">
        <v>118</v>
      </c>
      <c r="B6" s="154"/>
      <c r="C6" s="154"/>
      <c r="D6" s="154"/>
      <c r="E6" s="154"/>
      <c r="F6" s="154"/>
      <c r="G6" s="155"/>
    </row>
    <row r="7" spans="1:7" x14ac:dyDescent="0.25">
      <c r="A7" s="159" t="s">
        <v>361</v>
      </c>
      <c r="B7" s="164" t="s">
        <v>279</v>
      </c>
      <c r="C7" s="164"/>
      <c r="D7" s="164"/>
      <c r="E7" s="164"/>
      <c r="F7" s="164"/>
      <c r="G7" s="164" t="s">
        <v>280</v>
      </c>
    </row>
    <row r="8" spans="1:7" ht="29.25" customHeight="1" x14ac:dyDescent="0.25">
      <c r="A8" s="160"/>
      <c r="B8" s="43" t="s">
        <v>281</v>
      </c>
      <c r="C8" s="48" t="s">
        <v>362</v>
      </c>
      <c r="D8" s="48" t="s">
        <v>212</v>
      </c>
      <c r="E8" s="48" t="s">
        <v>167</v>
      </c>
      <c r="F8" s="48" t="s">
        <v>185</v>
      </c>
      <c r="G8" s="171"/>
    </row>
    <row r="9" spans="1:7" x14ac:dyDescent="0.25">
      <c r="A9" s="50" t="s">
        <v>400</v>
      </c>
      <c r="B9" s="136">
        <f>SUM(B10,B11,B12,B15,B16,B19)</f>
        <v>150050373.59999999</v>
      </c>
      <c r="C9" s="136">
        <f t="shared" ref="C9:F9" si="0">SUM(C10,C11,C12,C15,C16,C19)</f>
        <v>49658729.030000001</v>
      </c>
      <c r="D9" s="136">
        <f t="shared" si="0"/>
        <v>199709102.63</v>
      </c>
      <c r="E9" s="136">
        <f t="shared" si="0"/>
        <v>199709102.63</v>
      </c>
      <c r="F9" s="136">
        <f t="shared" si="0"/>
        <v>190902787.38999999</v>
      </c>
      <c r="G9" s="136">
        <f>SUM(G10,G11,G12,G15,G16,G19)</f>
        <v>0</v>
      </c>
    </row>
    <row r="10" spans="1:7" ht="14.25" customHeight="1" x14ac:dyDescent="0.25">
      <c r="A10" s="51" t="s">
        <v>401</v>
      </c>
      <c r="B10" s="137">
        <v>150050373.59999999</v>
      </c>
      <c r="C10" s="137">
        <v>49658729.030000001</v>
      </c>
      <c r="D10" s="137">
        <v>199709102.63</v>
      </c>
      <c r="E10" s="137">
        <v>199709102.63</v>
      </c>
      <c r="F10" s="137">
        <v>190902787.38999999</v>
      </c>
      <c r="G10" s="137">
        <f>D10-E10</f>
        <v>0</v>
      </c>
    </row>
    <row r="11" spans="1:7" x14ac:dyDescent="0.25">
      <c r="A11" s="51" t="s">
        <v>402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f>D11-E11</f>
        <v>0</v>
      </c>
    </row>
    <row r="12" spans="1:7" x14ac:dyDescent="0.25">
      <c r="A12" s="51" t="s">
        <v>403</v>
      </c>
      <c r="B12" s="137">
        <f>B13+B14</f>
        <v>0</v>
      </c>
      <c r="C12" s="137">
        <f t="shared" ref="C12:F12" si="1">C13+C14</f>
        <v>0</v>
      </c>
      <c r="D12" s="137">
        <f t="shared" si="1"/>
        <v>0</v>
      </c>
      <c r="E12" s="137">
        <f t="shared" si="1"/>
        <v>0</v>
      </c>
      <c r="F12" s="137">
        <f t="shared" si="1"/>
        <v>0</v>
      </c>
      <c r="G12" s="137">
        <f>G13+G14</f>
        <v>0</v>
      </c>
    </row>
    <row r="13" spans="1:7" x14ac:dyDescent="0.25">
      <c r="A13" s="61" t="s">
        <v>404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f>D13-E13</f>
        <v>0</v>
      </c>
    </row>
    <row r="14" spans="1:7" x14ac:dyDescent="0.25">
      <c r="A14" s="61" t="s">
        <v>405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f t="shared" ref="G14:G15" si="2">D14-E14</f>
        <v>0</v>
      </c>
    </row>
    <row r="15" spans="1:7" x14ac:dyDescent="0.25">
      <c r="A15" s="51" t="s">
        <v>406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f t="shared" si="2"/>
        <v>0</v>
      </c>
    </row>
    <row r="16" spans="1:7" x14ac:dyDescent="0.25">
      <c r="A16" s="62" t="s">
        <v>407</v>
      </c>
      <c r="B16" s="137">
        <f>B17+B18</f>
        <v>0</v>
      </c>
      <c r="C16" s="137">
        <f t="shared" ref="C16:G16" si="3">C17+C18</f>
        <v>0</v>
      </c>
      <c r="D16" s="137">
        <f t="shared" si="3"/>
        <v>0</v>
      </c>
      <c r="E16" s="137">
        <f t="shared" si="3"/>
        <v>0</v>
      </c>
      <c r="F16" s="137">
        <f t="shared" si="3"/>
        <v>0</v>
      </c>
      <c r="G16" s="137">
        <f t="shared" si="3"/>
        <v>0</v>
      </c>
    </row>
    <row r="17" spans="1:7" x14ac:dyDescent="0.25">
      <c r="A17" s="61" t="s">
        <v>408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f>D17-E17</f>
        <v>0</v>
      </c>
    </row>
    <row r="18" spans="1:7" x14ac:dyDescent="0.25">
      <c r="A18" s="61" t="s">
        <v>409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f>D18-E18</f>
        <v>0</v>
      </c>
    </row>
    <row r="19" spans="1:7" x14ac:dyDescent="0.25">
      <c r="A19" s="51" t="s">
        <v>410</v>
      </c>
      <c r="B19" s="137">
        <v>0</v>
      </c>
      <c r="C19" s="137">
        <v>0</v>
      </c>
      <c r="D19" s="137">
        <v>0</v>
      </c>
      <c r="E19" s="137">
        <v>0</v>
      </c>
      <c r="F19" s="137">
        <v>0</v>
      </c>
      <c r="G19" s="137">
        <f>D19-E19</f>
        <v>0</v>
      </c>
    </row>
    <row r="20" spans="1:7" ht="14.25" x14ac:dyDescent="0.45">
      <c r="A20" s="52"/>
      <c r="B20" s="64"/>
      <c r="C20" s="64"/>
      <c r="D20" s="64"/>
      <c r="E20" s="64"/>
      <c r="F20" s="64"/>
      <c r="G20" s="64"/>
    </row>
    <row r="21" spans="1:7" s="23" customFormat="1" x14ac:dyDescent="0.25">
      <c r="A21" s="14" t="s">
        <v>411</v>
      </c>
      <c r="B21" s="136">
        <f>SUM(B22,B23,B24,B27,B28,B31)</f>
        <v>102214217.8</v>
      </c>
      <c r="C21" s="136">
        <f t="shared" ref="C21:F21" si="4">SUM(C22,C23,C24,C27,C28,C31)</f>
        <v>-11283210.789999999</v>
      </c>
      <c r="D21" s="136">
        <f t="shared" si="4"/>
        <v>90931007.010000005</v>
      </c>
      <c r="E21" s="136">
        <f t="shared" si="4"/>
        <v>90931007.010000005</v>
      </c>
      <c r="F21" s="136">
        <f t="shared" si="4"/>
        <v>90931007.010000005</v>
      </c>
      <c r="G21" s="136">
        <f>SUM(G22,G23,G24,G27,G28,G31)</f>
        <v>0</v>
      </c>
    </row>
    <row r="22" spans="1:7" s="23" customFormat="1" ht="14.25" customHeight="1" x14ac:dyDescent="0.25">
      <c r="A22" s="51" t="s">
        <v>401</v>
      </c>
      <c r="B22" s="137">
        <v>102214217.8</v>
      </c>
      <c r="C22" s="137">
        <v>-11283210.789999999</v>
      </c>
      <c r="D22" s="137">
        <v>90931007.010000005</v>
      </c>
      <c r="E22" s="137">
        <v>90931007.010000005</v>
      </c>
      <c r="F22" s="137">
        <v>90931007.010000005</v>
      </c>
      <c r="G22" s="137">
        <f>D22-E22</f>
        <v>0</v>
      </c>
    </row>
    <row r="23" spans="1:7" s="23" customFormat="1" x14ac:dyDescent="0.25">
      <c r="A23" s="51" t="s">
        <v>402</v>
      </c>
      <c r="B23" s="137">
        <v>0</v>
      </c>
      <c r="C23" s="137">
        <v>0</v>
      </c>
      <c r="D23" s="137">
        <v>0</v>
      </c>
      <c r="E23" s="137">
        <v>0</v>
      </c>
      <c r="F23" s="137">
        <v>0</v>
      </c>
      <c r="G23" s="137">
        <f>D23-E23</f>
        <v>0</v>
      </c>
    </row>
    <row r="24" spans="1:7" s="23" customFormat="1" x14ac:dyDescent="0.25">
      <c r="A24" s="51" t="s">
        <v>403</v>
      </c>
      <c r="B24" s="137">
        <f>B25+B26</f>
        <v>0</v>
      </c>
      <c r="C24" s="137">
        <f t="shared" ref="C24:G24" si="5">C25+C26</f>
        <v>0</v>
      </c>
      <c r="D24" s="137">
        <f t="shared" si="5"/>
        <v>0</v>
      </c>
      <c r="E24" s="137">
        <f t="shared" si="5"/>
        <v>0</v>
      </c>
      <c r="F24" s="137">
        <f t="shared" si="5"/>
        <v>0</v>
      </c>
      <c r="G24" s="137">
        <f t="shared" si="5"/>
        <v>0</v>
      </c>
    </row>
    <row r="25" spans="1:7" s="23" customFormat="1" x14ac:dyDescent="0.25">
      <c r="A25" s="61" t="s">
        <v>404</v>
      </c>
      <c r="B25" s="137">
        <v>0</v>
      </c>
      <c r="C25" s="137">
        <v>0</v>
      </c>
      <c r="D25" s="137">
        <v>0</v>
      </c>
      <c r="E25" s="137">
        <v>0</v>
      </c>
      <c r="F25" s="137">
        <v>0</v>
      </c>
      <c r="G25" s="137">
        <f>D25-E25</f>
        <v>0</v>
      </c>
    </row>
    <row r="26" spans="1:7" s="23" customFormat="1" x14ac:dyDescent="0.25">
      <c r="A26" s="61" t="s">
        <v>405</v>
      </c>
      <c r="B26" s="137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f t="shared" ref="G26:G27" si="6">D26-E26</f>
        <v>0</v>
      </c>
    </row>
    <row r="27" spans="1:7" s="23" customFormat="1" x14ac:dyDescent="0.25">
      <c r="A27" s="51" t="s">
        <v>406</v>
      </c>
      <c r="B27" s="137">
        <v>0</v>
      </c>
      <c r="C27" s="137">
        <v>0</v>
      </c>
      <c r="D27" s="137">
        <v>0</v>
      </c>
      <c r="E27" s="137">
        <v>0</v>
      </c>
      <c r="F27" s="137">
        <v>0</v>
      </c>
      <c r="G27" s="137">
        <f t="shared" si="6"/>
        <v>0</v>
      </c>
    </row>
    <row r="28" spans="1:7" s="23" customFormat="1" x14ac:dyDescent="0.25">
      <c r="A28" s="62" t="s">
        <v>407</v>
      </c>
      <c r="B28" s="137">
        <f>B29+B30</f>
        <v>0</v>
      </c>
      <c r="C28" s="137">
        <f t="shared" ref="C28:G28" si="7">C29+C30</f>
        <v>0</v>
      </c>
      <c r="D28" s="137">
        <f t="shared" si="7"/>
        <v>0</v>
      </c>
      <c r="E28" s="137">
        <f t="shared" si="7"/>
        <v>0</v>
      </c>
      <c r="F28" s="137">
        <f t="shared" si="7"/>
        <v>0</v>
      </c>
      <c r="G28" s="137">
        <f t="shared" si="7"/>
        <v>0</v>
      </c>
    </row>
    <row r="29" spans="1:7" s="23" customFormat="1" x14ac:dyDescent="0.25">
      <c r="A29" s="61" t="s">
        <v>408</v>
      </c>
      <c r="B29" s="137">
        <v>0</v>
      </c>
      <c r="C29" s="137">
        <v>0</v>
      </c>
      <c r="D29" s="137">
        <v>0</v>
      </c>
      <c r="E29" s="137">
        <v>0</v>
      </c>
      <c r="F29" s="137">
        <v>0</v>
      </c>
      <c r="G29" s="137">
        <f>D29-E29</f>
        <v>0</v>
      </c>
    </row>
    <row r="30" spans="1:7" s="23" customFormat="1" x14ac:dyDescent="0.25">
      <c r="A30" s="61" t="s">
        <v>409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f t="shared" ref="G30:G31" si="8">D30-E30</f>
        <v>0</v>
      </c>
    </row>
    <row r="31" spans="1:7" s="23" customFormat="1" x14ac:dyDescent="0.25">
      <c r="A31" s="51" t="s">
        <v>410</v>
      </c>
      <c r="B31" s="137">
        <v>0</v>
      </c>
      <c r="C31" s="137">
        <v>0</v>
      </c>
      <c r="D31" s="137">
        <v>0</v>
      </c>
      <c r="E31" s="137">
        <v>0</v>
      </c>
      <c r="F31" s="137">
        <v>0</v>
      </c>
      <c r="G31" s="137">
        <f t="shared" si="8"/>
        <v>0</v>
      </c>
    </row>
    <row r="32" spans="1:7" x14ac:dyDescent="0.25">
      <c r="A32" s="52"/>
      <c r="B32" s="64"/>
      <c r="C32" s="64"/>
      <c r="D32" s="64"/>
      <c r="E32" s="64"/>
      <c r="F32" s="64"/>
      <c r="G32" s="64"/>
    </row>
    <row r="33" spans="1:7" x14ac:dyDescent="0.25">
      <c r="A33" s="53" t="s">
        <v>412</v>
      </c>
      <c r="B33" s="136">
        <f>B21+B9</f>
        <v>252264591.39999998</v>
      </c>
      <c r="C33" s="136">
        <f t="shared" ref="C33:G33" si="9">C21+C9</f>
        <v>38375518.240000002</v>
      </c>
      <c r="D33" s="136">
        <f t="shared" si="9"/>
        <v>290640109.63999999</v>
      </c>
      <c r="E33" s="136">
        <f t="shared" si="9"/>
        <v>290640109.63999999</v>
      </c>
      <c r="F33" s="136">
        <f t="shared" si="9"/>
        <v>281833794.39999998</v>
      </c>
      <c r="G33" s="136">
        <f t="shared" si="9"/>
        <v>0</v>
      </c>
    </row>
    <row r="34" spans="1:7" x14ac:dyDescent="0.25">
      <c r="A34" s="63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39370078740157483" right="0.43307086614173229" top="0.74803149606299213" bottom="0.74803149606299213" header="0.31496062992125984" footer="0.31496062992125984"/>
  <pageSetup scale="5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150050373.59999999</v>
      </c>
      <c r="Q2" s="18">
        <f>'Formato 6 d)'!C9</f>
        <v>49658729.030000001</v>
      </c>
      <c r="R2" s="18">
        <f>'Formato 6 d)'!D9</f>
        <v>199709102.63</v>
      </c>
      <c r="S2" s="18">
        <f>'Formato 6 d)'!E9</f>
        <v>199709102.63</v>
      </c>
      <c r="T2" s="18">
        <f>'Formato 6 d)'!F9</f>
        <v>190902787.38999999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150050373.59999999</v>
      </c>
      <c r="Q3" s="18">
        <f>'Formato 6 d)'!C10</f>
        <v>49658729.030000001</v>
      </c>
      <c r="R3" s="18">
        <f>'Formato 6 d)'!D10</f>
        <v>199709102.63</v>
      </c>
      <c r="S3" s="18">
        <f>'Formato 6 d)'!E10</f>
        <v>199709102.63</v>
      </c>
      <c r="T3" s="18">
        <f>'Formato 6 d)'!F10</f>
        <v>190902787.38999999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102214217.8</v>
      </c>
      <c r="Q13" s="18">
        <f>'Formato 6 d)'!C21</f>
        <v>-11283210.789999999</v>
      </c>
      <c r="R13" s="18">
        <f>'Formato 6 d)'!D21</f>
        <v>90931007.010000005</v>
      </c>
      <c r="S13" s="18">
        <f>'Formato 6 d)'!E21</f>
        <v>90931007.010000005</v>
      </c>
      <c r="T13" s="18">
        <f>'Formato 6 d)'!F21</f>
        <v>90931007.010000005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102214217.8</v>
      </c>
      <c r="Q14" s="18">
        <f>'Formato 6 d)'!C22</f>
        <v>-11283210.789999999</v>
      </c>
      <c r="R14" s="18">
        <f>'Formato 6 d)'!D22</f>
        <v>90931007.010000005</v>
      </c>
      <c r="S14" s="18">
        <f>'Formato 6 d)'!E22</f>
        <v>90931007.010000005</v>
      </c>
      <c r="T14" s="18">
        <f>'Formato 6 d)'!F22</f>
        <v>90931007.010000005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252264591.39999998</v>
      </c>
      <c r="Q24" s="18">
        <f>'Formato 6 d)'!C33</f>
        <v>38375518.240000002</v>
      </c>
      <c r="R24" s="18">
        <f>'Formato 6 d)'!D33</f>
        <v>290640109.63999999</v>
      </c>
      <c r="S24" s="18">
        <f>'Formato 6 d)'!E33</f>
        <v>290640109.63999999</v>
      </c>
      <c r="T24" s="18">
        <f>'Formato 6 d)'!F33</f>
        <v>281833794.39999998</v>
      </c>
      <c r="U24" s="18">
        <f>'Formato 6 d)'!G33</f>
        <v>0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abSelected="1" topLeftCell="A2" zoomScale="85" zoomScaleNormal="85" zoomScalePageLayoutView="90" workbookViewId="0">
      <selection activeCell="B23" sqref="B23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2" t="s">
        <v>413</v>
      </c>
      <c r="B1" s="162"/>
      <c r="C1" s="162"/>
      <c r="D1" s="162"/>
      <c r="E1" s="162"/>
      <c r="F1" s="162"/>
      <c r="G1" s="162"/>
    </row>
    <row r="2" spans="1:7" ht="14.25" x14ac:dyDescent="0.45">
      <c r="A2" s="144" t="str">
        <f>ENTIDAD</f>
        <v>Gobierno del Estado de Guanajuato</v>
      </c>
      <c r="B2" s="145"/>
      <c r="C2" s="145"/>
      <c r="D2" s="145"/>
      <c r="E2" s="145"/>
      <c r="F2" s="145"/>
      <c r="G2" s="146"/>
    </row>
    <row r="3" spans="1:7" ht="14.25" x14ac:dyDescent="0.45">
      <c r="A3" s="147" t="s">
        <v>414</v>
      </c>
      <c r="B3" s="148"/>
      <c r="C3" s="148"/>
      <c r="D3" s="148"/>
      <c r="E3" s="148"/>
      <c r="F3" s="148"/>
      <c r="G3" s="149"/>
    </row>
    <row r="4" spans="1:7" ht="14.25" x14ac:dyDescent="0.45">
      <c r="A4" s="147" t="s">
        <v>118</v>
      </c>
      <c r="B4" s="148"/>
      <c r="C4" s="148"/>
      <c r="D4" s="148"/>
      <c r="E4" s="148"/>
      <c r="F4" s="148"/>
      <c r="G4" s="149"/>
    </row>
    <row r="5" spans="1:7" ht="14.25" x14ac:dyDescent="0.45">
      <c r="A5" s="147" t="s">
        <v>415</v>
      </c>
      <c r="B5" s="148"/>
      <c r="C5" s="148"/>
      <c r="D5" s="148"/>
      <c r="E5" s="148"/>
      <c r="F5" s="148"/>
      <c r="G5" s="149"/>
    </row>
    <row r="6" spans="1:7" x14ac:dyDescent="0.25">
      <c r="A6" s="159" t="s">
        <v>3280</v>
      </c>
      <c r="B6" s="49">
        <f>ANIO1P</f>
        <v>2021</v>
      </c>
      <c r="C6" s="172" t="str">
        <f>ANIO2P</f>
        <v>2022 (d)</v>
      </c>
      <c r="D6" s="172" t="str">
        <f>ANIO3P</f>
        <v>2023 (d)</v>
      </c>
      <c r="E6" s="172" t="str">
        <f>ANIO4P</f>
        <v>2024 (d)</v>
      </c>
      <c r="F6" s="172" t="str">
        <f>ANIO5P</f>
        <v>2025 (d)</v>
      </c>
      <c r="G6" s="172" t="str">
        <f>ANIO6P</f>
        <v>2026 (d)</v>
      </c>
    </row>
    <row r="7" spans="1:7" ht="48" customHeight="1" x14ac:dyDescent="0.25">
      <c r="A7" s="160"/>
      <c r="B7" s="78" t="s">
        <v>3283</v>
      </c>
      <c r="C7" s="173"/>
      <c r="D7" s="173"/>
      <c r="E7" s="173"/>
      <c r="F7" s="173"/>
      <c r="G7" s="173"/>
    </row>
    <row r="8" spans="1:7" x14ac:dyDescent="0.25">
      <c r="A8" s="50" t="s">
        <v>421</v>
      </c>
      <c r="B8" s="57">
        <f>SUM(B9:B20)</f>
        <v>12</v>
      </c>
      <c r="C8" s="57">
        <f t="shared" ref="C8:G8" si="0">SUM(C9:C20)</f>
        <v>18</v>
      </c>
      <c r="D8" s="57">
        <f t="shared" si="0"/>
        <v>24</v>
      </c>
      <c r="E8" s="57">
        <f t="shared" si="0"/>
        <v>30</v>
      </c>
      <c r="F8" s="57">
        <f t="shared" si="0"/>
        <v>36</v>
      </c>
      <c r="G8" s="57">
        <f t="shared" si="0"/>
        <v>42</v>
      </c>
    </row>
    <row r="9" spans="1:7" ht="14.25" x14ac:dyDescent="0.45">
      <c r="A9" s="51" t="s">
        <v>216</v>
      </c>
      <c r="B9" s="58">
        <v>1</v>
      </c>
      <c r="C9" s="58">
        <v>1.5</v>
      </c>
      <c r="D9" s="58">
        <v>2</v>
      </c>
      <c r="E9" s="58">
        <v>2.5</v>
      </c>
      <c r="F9" s="58">
        <v>3</v>
      </c>
      <c r="G9" s="58">
        <v>3.5</v>
      </c>
    </row>
    <row r="10" spans="1:7" ht="14.25" x14ac:dyDescent="0.45">
      <c r="A10" s="51" t="s">
        <v>217</v>
      </c>
      <c r="B10" s="58">
        <v>1</v>
      </c>
      <c r="C10" s="58">
        <v>1.5</v>
      </c>
      <c r="D10" s="58">
        <v>2</v>
      </c>
      <c r="E10" s="58">
        <v>2.5</v>
      </c>
      <c r="F10" s="58">
        <v>3</v>
      </c>
      <c r="G10" s="58">
        <v>3.5</v>
      </c>
    </row>
    <row r="11" spans="1:7" ht="14.25" x14ac:dyDescent="0.45">
      <c r="A11" s="51" t="s">
        <v>218</v>
      </c>
      <c r="B11" s="58">
        <v>1</v>
      </c>
      <c r="C11" s="58">
        <v>1.5</v>
      </c>
      <c r="D11" s="58">
        <v>2</v>
      </c>
      <c r="E11" s="58">
        <v>2.5</v>
      </c>
      <c r="F11" s="58">
        <v>3</v>
      </c>
      <c r="G11" s="58">
        <v>3.5</v>
      </c>
    </row>
    <row r="12" spans="1:7" ht="14.25" x14ac:dyDescent="0.45">
      <c r="A12" s="51" t="s">
        <v>416</v>
      </c>
      <c r="B12" s="58">
        <v>1</v>
      </c>
      <c r="C12" s="58">
        <v>1.5</v>
      </c>
      <c r="D12" s="58">
        <v>2</v>
      </c>
      <c r="E12" s="58">
        <v>2.5</v>
      </c>
      <c r="F12" s="58">
        <v>3</v>
      </c>
      <c r="G12" s="58">
        <v>3.5</v>
      </c>
    </row>
    <row r="13" spans="1:7" ht="14.25" x14ac:dyDescent="0.45">
      <c r="A13" s="51" t="s">
        <v>220</v>
      </c>
      <c r="B13" s="58">
        <v>1</v>
      </c>
      <c r="C13" s="58">
        <v>1.5</v>
      </c>
      <c r="D13" s="58">
        <v>2</v>
      </c>
      <c r="E13" s="58">
        <v>2.5</v>
      </c>
      <c r="F13" s="58">
        <v>3</v>
      </c>
      <c r="G13" s="58">
        <v>3.5</v>
      </c>
    </row>
    <row r="14" spans="1:7" ht="14.25" x14ac:dyDescent="0.45">
      <c r="A14" s="51" t="s">
        <v>221</v>
      </c>
      <c r="B14" s="58">
        <v>1</v>
      </c>
      <c r="C14" s="58">
        <v>1.5</v>
      </c>
      <c r="D14" s="58">
        <v>2</v>
      </c>
      <c r="E14" s="58">
        <v>2.5</v>
      </c>
      <c r="F14" s="58">
        <v>3</v>
      </c>
      <c r="G14" s="58">
        <v>3.5</v>
      </c>
    </row>
    <row r="15" spans="1:7" ht="14.25" x14ac:dyDescent="0.45">
      <c r="A15" s="51" t="s">
        <v>417</v>
      </c>
      <c r="B15" s="58">
        <v>1</v>
      </c>
      <c r="C15" s="58">
        <v>1.5</v>
      </c>
      <c r="D15" s="58">
        <v>2</v>
      </c>
      <c r="E15" s="58">
        <v>2.5</v>
      </c>
      <c r="F15" s="58">
        <v>3</v>
      </c>
      <c r="G15" s="58">
        <v>3.5</v>
      </c>
    </row>
    <row r="16" spans="1:7" ht="14.25" x14ac:dyDescent="0.45">
      <c r="A16" s="51" t="s">
        <v>418</v>
      </c>
      <c r="B16" s="58">
        <v>1</v>
      </c>
      <c r="C16" s="58">
        <v>1.5</v>
      </c>
      <c r="D16" s="58">
        <v>2</v>
      </c>
      <c r="E16" s="58">
        <v>2.5</v>
      </c>
      <c r="F16" s="58">
        <v>3</v>
      </c>
      <c r="G16" s="58">
        <v>3.5</v>
      </c>
    </row>
    <row r="17" spans="1:7" x14ac:dyDescent="0.25">
      <c r="A17" s="10" t="s">
        <v>419</v>
      </c>
      <c r="B17" s="58">
        <v>1</v>
      </c>
      <c r="C17" s="58">
        <v>1.5</v>
      </c>
      <c r="D17" s="58">
        <v>2</v>
      </c>
      <c r="E17" s="58">
        <v>2.5</v>
      </c>
      <c r="F17" s="58">
        <v>3</v>
      </c>
      <c r="G17" s="58">
        <v>3.5</v>
      </c>
    </row>
    <row r="18" spans="1:7" ht="14.25" x14ac:dyDescent="0.45">
      <c r="A18" s="51" t="s">
        <v>240</v>
      </c>
      <c r="B18" s="58">
        <v>1</v>
      </c>
      <c r="C18" s="58">
        <v>1.5</v>
      </c>
      <c r="D18" s="58">
        <v>2</v>
      </c>
      <c r="E18" s="58">
        <v>2.5</v>
      </c>
      <c r="F18" s="58">
        <v>3</v>
      </c>
      <c r="G18" s="58">
        <v>3.5</v>
      </c>
    </row>
    <row r="19" spans="1:7" ht="14.25" x14ac:dyDescent="0.45">
      <c r="A19" s="51" t="s">
        <v>241</v>
      </c>
      <c r="B19" s="58">
        <v>1</v>
      </c>
      <c r="C19" s="58">
        <v>1.5</v>
      </c>
      <c r="D19" s="58">
        <v>2</v>
      </c>
      <c r="E19" s="58">
        <v>2.5</v>
      </c>
      <c r="F19" s="58">
        <v>3</v>
      </c>
      <c r="G19" s="58">
        <v>3.5</v>
      </c>
    </row>
    <row r="20" spans="1:7" x14ac:dyDescent="0.25">
      <c r="A20" s="51" t="s">
        <v>420</v>
      </c>
      <c r="B20" s="58">
        <v>1</v>
      </c>
      <c r="C20" s="58">
        <v>1.5</v>
      </c>
      <c r="D20" s="58">
        <v>2</v>
      </c>
      <c r="E20" s="58">
        <v>2.5</v>
      </c>
      <c r="F20" s="58">
        <v>3</v>
      </c>
      <c r="G20" s="58">
        <v>3.5</v>
      </c>
    </row>
    <row r="21" spans="1:7" ht="14.25" x14ac:dyDescent="0.45">
      <c r="A21" s="52"/>
      <c r="B21" s="52"/>
      <c r="C21" s="52"/>
      <c r="D21" s="52"/>
      <c r="E21" s="52"/>
      <c r="F21" s="52"/>
      <c r="G21" s="52"/>
    </row>
    <row r="22" spans="1:7" ht="14.25" x14ac:dyDescent="0.45">
      <c r="A22" s="53" t="s">
        <v>422</v>
      </c>
      <c r="B22" s="59">
        <f>SUM(B23:B27)</f>
        <v>5</v>
      </c>
      <c r="C22" s="59">
        <f t="shared" ref="C22:G22" si="1">SUM(C23:C27)</f>
        <v>7.5</v>
      </c>
      <c r="D22" s="59">
        <f t="shared" si="1"/>
        <v>10</v>
      </c>
      <c r="E22" s="59">
        <f t="shared" si="1"/>
        <v>12.5</v>
      </c>
      <c r="F22" s="59">
        <f t="shared" si="1"/>
        <v>15</v>
      </c>
      <c r="G22" s="59">
        <f t="shared" si="1"/>
        <v>17.5</v>
      </c>
    </row>
    <row r="23" spans="1:7" ht="14.25" x14ac:dyDescent="0.45">
      <c r="A23" s="51" t="s">
        <v>423</v>
      </c>
      <c r="B23" s="58">
        <v>1</v>
      </c>
      <c r="C23" s="58">
        <v>1.5</v>
      </c>
      <c r="D23" s="58">
        <v>2</v>
      </c>
      <c r="E23" s="58">
        <v>2.5</v>
      </c>
      <c r="F23" s="58">
        <v>3</v>
      </c>
      <c r="G23" s="58">
        <v>3.5</v>
      </c>
    </row>
    <row r="24" spans="1:7" ht="14.25" x14ac:dyDescent="0.45">
      <c r="A24" s="51" t="s">
        <v>424</v>
      </c>
      <c r="B24" s="58">
        <v>1</v>
      </c>
      <c r="C24" s="58">
        <v>1.5</v>
      </c>
      <c r="D24" s="58">
        <v>2</v>
      </c>
      <c r="E24" s="58">
        <v>2.5</v>
      </c>
      <c r="F24" s="58">
        <v>3</v>
      </c>
      <c r="G24" s="58">
        <v>3.5</v>
      </c>
    </row>
    <row r="25" spans="1:7" ht="14.25" x14ac:dyDescent="0.45">
      <c r="A25" s="51" t="s">
        <v>425</v>
      </c>
      <c r="B25" s="58">
        <v>1</v>
      </c>
      <c r="C25" s="58">
        <v>1.5</v>
      </c>
      <c r="D25" s="58">
        <v>2</v>
      </c>
      <c r="E25" s="58">
        <v>2.5</v>
      </c>
      <c r="F25" s="58">
        <v>3</v>
      </c>
      <c r="G25" s="58">
        <v>3.5</v>
      </c>
    </row>
    <row r="26" spans="1:7" ht="14.25" x14ac:dyDescent="0.45">
      <c r="A26" s="54" t="s">
        <v>265</v>
      </c>
      <c r="B26" s="58">
        <v>1</v>
      </c>
      <c r="C26" s="58">
        <v>1.5</v>
      </c>
      <c r="D26" s="58">
        <v>2</v>
      </c>
      <c r="E26" s="58">
        <v>2.5</v>
      </c>
      <c r="F26" s="58">
        <v>3</v>
      </c>
      <c r="G26" s="58">
        <v>3.5</v>
      </c>
    </row>
    <row r="27" spans="1:7" ht="14.25" x14ac:dyDescent="0.45">
      <c r="A27" s="51" t="s">
        <v>266</v>
      </c>
      <c r="B27" s="58">
        <v>1</v>
      </c>
      <c r="C27" s="58">
        <v>1.5</v>
      </c>
      <c r="D27" s="58">
        <v>2</v>
      </c>
      <c r="E27" s="58">
        <v>2.5</v>
      </c>
      <c r="F27" s="58">
        <v>3</v>
      </c>
      <c r="G27" s="58">
        <v>3.5</v>
      </c>
    </row>
    <row r="28" spans="1:7" ht="14.25" x14ac:dyDescent="0.45">
      <c r="A28" s="52"/>
      <c r="B28" s="52"/>
      <c r="C28" s="52"/>
      <c r="D28" s="52"/>
      <c r="E28" s="52"/>
      <c r="F28" s="52"/>
      <c r="G28" s="52"/>
    </row>
    <row r="29" spans="1:7" ht="14.25" x14ac:dyDescent="0.45">
      <c r="A29" s="53" t="s">
        <v>426</v>
      </c>
      <c r="B29" s="59">
        <f>B30</f>
        <v>1</v>
      </c>
      <c r="C29" s="59">
        <f t="shared" ref="C29:G29" si="2">C30</f>
        <v>1.5</v>
      </c>
      <c r="D29" s="59">
        <f t="shared" si="2"/>
        <v>2</v>
      </c>
      <c r="E29" s="59">
        <f t="shared" si="2"/>
        <v>2.5</v>
      </c>
      <c r="F29" s="59">
        <f t="shared" si="2"/>
        <v>3</v>
      </c>
      <c r="G29" s="59">
        <f t="shared" si="2"/>
        <v>3.5</v>
      </c>
    </row>
    <row r="30" spans="1:7" ht="14.25" x14ac:dyDescent="0.45">
      <c r="A30" s="51" t="s">
        <v>269</v>
      </c>
      <c r="B30" s="58">
        <v>1</v>
      </c>
      <c r="C30" s="58">
        <v>1.5</v>
      </c>
      <c r="D30" s="58">
        <v>2</v>
      </c>
      <c r="E30" s="58">
        <v>2.5</v>
      </c>
      <c r="F30" s="58">
        <v>3</v>
      </c>
      <c r="G30" s="58">
        <v>3.5</v>
      </c>
    </row>
    <row r="31" spans="1:7" ht="14.25" x14ac:dyDescent="0.45">
      <c r="A31" s="52"/>
      <c r="B31" s="52"/>
      <c r="C31" s="52"/>
      <c r="D31" s="52"/>
      <c r="E31" s="52"/>
      <c r="F31" s="52"/>
      <c r="G31" s="52"/>
    </row>
    <row r="32" spans="1:7" ht="14.25" x14ac:dyDescent="0.45">
      <c r="A32" s="14" t="s">
        <v>427</v>
      </c>
      <c r="B32" s="59">
        <f>B29+B22+B8</f>
        <v>18</v>
      </c>
      <c r="C32" s="59">
        <f t="shared" ref="C32:F32" si="3">C29+C22+C8</f>
        <v>27</v>
      </c>
      <c r="D32" s="59">
        <f t="shared" si="3"/>
        <v>36</v>
      </c>
      <c r="E32" s="59">
        <f t="shared" si="3"/>
        <v>45</v>
      </c>
      <c r="F32" s="59">
        <f t="shared" si="3"/>
        <v>54</v>
      </c>
      <c r="G32" s="59">
        <f>G29+G22+G8</f>
        <v>63</v>
      </c>
    </row>
    <row r="33" spans="1:7" x14ac:dyDescent="0.25">
      <c r="A33" s="52"/>
      <c r="B33" s="52"/>
      <c r="C33" s="52"/>
      <c r="D33" s="52"/>
      <c r="E33" s="52"/>
      <c r="F33" s="52"/>
      <c r="G33" s="52"/>
    </row>
    <row r="34" spans="1:7" x14ac:dyDescent="0.25">
      <c r="A34" s="53" t="s">
        <v>271</v>
      </c>
      <c r="B34" s="60"/>
      <c r="C34" s="60"/>
      <c r="D34" s="60"/>
      <c r="E34" s="60"/>
      <c r="F34" s="60"/>
      <c r="G34" s="60"/>
    </row>
    <row r="35" spans="1:7" ht="30" x14ac:dyDescent="0.25">
      <c r="A35" s="55" t="s">
        <v>428</v>
      </c>
      <c r="B35" s="58">
        <v>1</v>
      </c>
      <c r="C35" s="58">
        <v>1.5</v>
      </c>
      <c r="D35" s="58">
        <v>2</v>
      </c>
      <c r="E35" s="58">
        <v>2.5</v>
      </c>
      <c r="F35" s="58">
        <v>3</v>
      </c>
      <c r="G35" s="58">
        <v>3.5</v>
      </c>
    </row>
    <row r="36" spans="1:7" ht="30" x14ac:dyDescent="0.25">
      <c r="A36" s="55" t="s">
        <v>273</v>
      </c>
      <c r="B36" s="58">
        <v>1</v>
      </c>
      <c r="C36" s="58">
        <v>1.5</v>
      </c>
      <c r="D36" s="58">
        <v>2</v>
      </c>
      <c r="E36" s="58">
        <v>2.5</v>
      </c>
      <c r="F36" s="58">
        <v>3</v>
      </c>
      <c r="G36" s="58">
        <v>3.5</v>
      </c>
    </row>
    <row r="37" spans="1:7" x14ac:dyDescent="0.25">
      <c r="A37" s="53" t="s">
        <v>429</v>
      </c>
      <c r="B37" s="59">
        <f>B36+B35</f>
        <v>2</v>
      </c>
      <c r="C37" s="59">
        <f t="shared" ref="C37:F37" si="4">C36+C35</f>
        <v>3</v>
      </c>
      <c r="D37" s="59">
        <f t="shared" si="4"/>
        <v>4</v>
      </c>
      <c r="E37" s="59">
        <f t="shared" si="4"/>
        <v>5</v>
      </c>
      <c r="F37" s="59">
        <f t="shared" si="4"/>
        <v>6</v>
      </c>
      <c r="G37" s="59">
        <f>G36+G35</f>
        <v>7</v>
      </c>
    </row>
    <row r="38" spans="1:7" x14ac:dyDescent="0.25">
      <c r="A38" s="56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5" sqref="C15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2" t="s">
        <v>443</v>
      </c>
      <c r="B1" s="162"/>
      <c r="C1" s="162"/>
      <c r="D1" s="162"/>
      <c r="E1" s="162"/>
      <c r="F1" s="162"/>
      <c r="G1" s="162"/>
    </row>
    <row r="2" spans="1:7" customFormat="1" ht="14.25" x14ac:dyDescent="0.45">
      <c r="A2" s="144" t="str">
        <f>ENTIDAD</f>
        <v>Gobierno del Estado de Guanajuato</v>
      </c>
      <c r="B2" s="145"/>
      <c r="C2" s="145"/>
      <c r="D2" s="145"/>
      <c r="E2" s="145"/>
      <c r="F2" s="145"/>
      <c r="G2" s="146"/>
    </row>
    <row r="3" spans="1:7" customFormat="1" ht="14.25" x14ac:dyDescent="0.45">
      <c r="A3" s="147" t="s">
        <v>444</v>
      </c>
      <c r="B3" s="148"/>
      <c r="C3" s="148"/>
      <c r="D3" s="148"/>
      <c r="E3" s="148"/>
      <c r="F3" s="148"/>
      <c r="G3" s="149"/>
    </row>
    <row r="4" spans="1:7" customFormat="1" ht="14.25" x14ac:dyDescent="0.45">
      <c r="A4" s="147" t="s">
        <v>118</v>
      </c>
      <c r="B4" s="148"/>
      <c r="C4" s="148"/>
      <c r="D4" s="148"/>
      <c r="E4" s="148"/>
      <c r="F4" s="148"/>
      <c r="G4" s="149"/>
    </row>
    <row r="5" spans="1:7" customFormat="1" ht="14.25" x14ac:dyDescent="0.45">
      <c r="A5" s="147" t="s">
        <v>415</v>
      </c>
      <c r="B5" s="148"/>
      <c r="C5" s="148"/>
      <c r="D5" s="148"/>
      <c r="E5" s="148"/>
      <c r="F5" s="148"/>
      <c r="G5" s="149"/>
    </row>
    <row r="6" spans="1:7" customFormat="1" x14ac:dyDescent="0.25">
      <c r="A6" s="174" t="s">
        <v>3134</v>
      </c>
      <c r="B6" s="49">
        <f>ANIO1P</f>
        <v>2021</v>
      </c>
      <c r="C6" s="172" t="str">
        <f>ANIO2P</f>
        <v>2022 (d)</v>
      </c>
      <c r="D6" s="172" t="str">
        <f>ANIO3P</f>
        <v>2023 (d)</v>
      </c>
      <c r="E6" s="172" t="str">
        <f>ANIO4P</f>
        <v>2024 (d)</v>
      </c>
      <c r="F6" s="172" t="str">
        <f>ANIO5P</f>
        <v>2025 (d)</v>
      </c>
      <c r="G6" s="172" t="str">
        <f>ANIO6P</f>
        <v>2026 (d)</v>
      </c>
    </row>
    <row r="7" spans="1:7" customFormat="1" ht="48" customHeight="1" x14ac:dyDescent="0.25">
      <c r="A7" s="175"/>
      <c r="B7" s="78" t="s">
        <v>3283</v>
      </c>
      <c r="C7" s="173"/>
      <c r="D7" s="173"/>
      <c r="E7" s="173"/>
      <c r="F7" s="173"/>
      <c r="G7" s="173"/>
    </row>
    <row r="8" spans="1:7" x14ac:dyDescent="0.25">
      <c r="A8" s="50" t="s">
        <v>445</v>
      </c>
      <c r="B8" s="57">
        <f>SUM(B9:B17)</f>
        <v>9</v>
      </c>
      <c r="C8" s="57">
        <f t="shared" ref="C8:G8" si="0">SUM(C9:C17)</f>
        <v>13.5</v>
      </c>
      <c r="D8" s="57">
        <f t="shared" si="0"/>
        <v>18</v>
      </c>
      <c r="E8" s="57">
        <f t="shared" si="0"/>
        <v>22.5</v>
      </c>
      <c r="F8" s="57">
        <f t="shared" si="0"/>
        <v>27</v>
      </c>
      <c r="G8" s="57">
        <f t="shared" si="0"/>
        <v>31.5</v>
      </c>
    </row>
    <row r="9" spans="1:7" x14ac:dyDescent="0.25">
      <c r="A9" s="51" t="s">
        <v>446</v>
      </c>
      <c r="B9" s="58">
        <v>1</v>
      </c>
      <c r="C9" s="58">
        <v>1.5</v>
      </c>
      <c r="D9" s="58">
        <v>2</v>
      </c>
      <c r="E9" s="58">
        <v>2.5</v>
      </c>
      <c r="F9" s="58">
        <v>3</v>
      </c>
      <c r="G9" s="58">
        <v>3.5</v>
      </c>
    </row>
    <row r="10" spans="1:7" x14ac:dyDescent="0.25">
      <c r="A10" s="51" t="s">
        <v>447</v>
      </c>
      <c r="B10" s="58">
        <v>1</v>
      </c>
      <c r="C10" s="58">
        <v>1.5</v>
      </c>
      <c r="D10" s="58">
        <v>2</v>
      </c>
      <c r="E10" s="58">
        <v>2.5</v>
      </c>
      <c r="F10" s="58">
        <v>3</v>
      </c>
      <c r="G10" s="58">
        <v>3.5</v>
      </c>
    </row>
    <row r="11" spans="1:7" x14ac:dyDescent="0.25">
      <c r="A11" s="51" t="s">
        <v>448</v>
      </c>
      <c r="B11" s="58">
        <v>1</v>
      </c>
      <c r="C11" s="58">
        <v>1.5</v>
      </c>
      <c r="D11" s="58">
        <v>2</v>
      </c>
      <c r="E11" s="58">
        <v>2.5</v>
      </c>
      <c r="F11" s="58">
        <v>3</v>
      </c>
      <c r="G11" s="58">
        <v>3.5</v>
      </c>
    </row>
    <row r="12" spans="1:7" x14ac:dyDescent="0.25">
      <c r="A12" s="51" t="s">
        <v>449</v>
      </c>
      <c r="B12" s="58">
        <v>1</v>
      </c>
      <c r="C12" s="58">
        <v>1.5</v>
      </c>
      <c r="D12" s="58">
        <v>2</v>
      </c>
      <c r="E12" s="58">
        <v>2.5</v>
      </c>
      <c r="F12" s="58">
        <v>3</v>
      </c>
      <c r="G12" s="58">
        <v>3.5</v>
      </c>
    </row>
    <row r="13" spans="1:7" x14ac:dyDescent="0.25">
      <c r="A13" s="51" t="s">
        <v>450</v>
      </c>
      <c r="B13" s="58">
        <v>1</v>
      </c>
      <c r="C13" s="58">
        <v>1.5</v>
      </c>
      <c r="D13" s="58">
        <v>2</v>
      </c>
      <c r="E13" s="58">
        <v>2.5</v>
      </c>
      <c r="F13" s="58">
        <v>3</v>
      </c>
      <c r="G13" s="58">
        <v>3.5</v>
      </c>
    </row>
    <row r="14" spans="1:7" x14ac:dyDescent="0.25">
      <c r="A14" s="51" t="s">
        <v>451</v>
      </c>
      <c r="B14" s="58">
        <v>1</v>
      </c>
      <c r="C14" s="58">
        <v>1.5</v>
      </c>
      <c r="D14" s="58">
        <v>2</v>
      </c>
      <c r="E14" s="58">
        <v>2.5</v>
      </c>
      <c r="F14" s="58">
        <v>3</v>
      </c>
      <c r="G14" s="58">
        <v>3.5</v>
      </c>
    </row>
    <row r="15" spans="1:7" x14ac:dyDescent="0.25">
      <c r="A15" s="51" t="s">
        <v>452</v>
      </c>
      <c r="B15" s="58">
        <v>1</v>
      </c>
      <c r="C15" s="58">
        <v>1.5</v>
      </c>
      <c r="D15" s="58">
        <v>2</v>
      </c>
      <c r="E15" s="58">
        <v>2.5</v>
      </c>
      <c r="F15" s="58">
        <v>3</v>
      </c>
      <c r="G15" s="58">
        <v>3.5</v>
      </c>
    </row>
    <row r="16" spans="1:7" x14ac:dyDescent="0.25">
      <c r="A16" s="51" t="s">
        <v>453</v>
      </c>
      <c r="B16" s="58">
        <v>1</v>
      </c>
      <c r="C16" s="58">
        <v>1.5</v>
      </c>
      <c r="D16" s="58">
        <v>2</v>
      </c>
      <c r="E16" s="58">
        <v>2.5</v>
      </c>
      <c r="F16" s="58">
        <v>3</v>
      </c>
      <c r="G16" s="58">
        <v>3.5</v>
      </c>
    </row>
    <row r="17" spans="1:7" x14ac:dyDescent="0.25">
      <c r="A17" s="51" t="s">
        <v>454</v>
      </c>
      <c r="B17" s="58">
        <v>1</v>
      </c>
      <c r="C17" s="58">
        <v>1.5</v>
      </c>
      <c r="D17" s="58">
        <v>2</v>
      </c>
      <c r="E17" s="58">
        <v>2.5</v>
      </c>
      <c r="F17" s="58">
        <v>3</v>
      </c>
      <c r="G17" s="58">
        <v>3.5</v>
      </c>
    </row>
    <row r="18" spans="1:7" ht="14.25" x14ac:dyDescent="0.45">
      <c r="A18" s="79"/>
      <c r="B18" s="52"/>
      <c r="C18" s="52"/>
      <c r="D18" s="52"/>
      <c r="E18" s="52"/>
      <c r="F18" s="52"/>
      <c r="G18" s="52"/>
    </row>
    <row r="19" spans="1:7" x14ac:dyDescent="0.25">
      <c r="A19" s="53" t="s">
        <v>455</v>
      </c>
      <c r="B19" s="59">
        <f>SUM(B20:B28)</f>
        <v>9</v>
      </c>
      <c r="C19" s="59">
        <f t="shared" ref="C19:G19" si="1">SUM(C20:C28)</f>
        <v>13.5</v>
      </c>
      <c r="D19" s="59">
        <f t="shared" si="1"/>
        <v>18</v>
      </c>
      <c r="E19" s="59">
        <f t="shared" si="1"/>
        <v>22.5</v>
      </c>
      <c r="F19" s="59">
        <f t="shared" si="1"/>
        <v>27</v>
      </c>
      <c r="G19" s="59">
        <f t="shared" si="1"/>
        <v>31.5</v>
      </c>
    </row>
    <row r="20" spans="1:7" x14ac:dyDescent="0.25">
      <c r="A20" s="51" t="s">
        <v>446</v>
      </c>
      <c r="B20" s="58">
        <v>1</v>
      </c>
      <c r="C20" s="58">
        <v>1.5</v>
      </c>
      <c r="D20" s="58">
        <v>2</v>
      </c>
      <c r="E20" s="58">
        <v>2.5</v>
      </c>
      <c r="F20" s="58">
        <v>3</v>
      </c>
      <c r="G20" s="58">
        <v>3.5</v>
      </c>
    </row>
    <row r="21" spans="1:7" x14ac:dyDescent="0.25">
      <c r="A21" s="51" t="s">
        <v>447</v>
      </c>
      <c r="B21" s="58">
        <v>1</v>
      </c>
      <c r="C21" s="58">
        <v>1.5</v>
      </c>
      <c r="D21" s="58">
        <v>2</v>
      </c>
      <c r="E21" s="58">
        <v>2.5</v>
      </c>
      <c r="F21" s="58">
        <v>3</v>
      </c>
      <c r="G21" s="58">
        <v>3.5</v>
      </c>
    </row>
    <row r="22" spans="1:7" x14ac:dyDescent="0.25">
      <c r="A22" s="51" t="s">
        <v>448</v>
      </c>
      <c r="B22" s="58">
        <v>1</v>
      </c>
      <c r="C22" s="58">
        <v>1.5</v>
      </c>
      <c r="D22" s="58">
        <v>2</v>
      </c>
      <c r="E22" s="58">
        <v>2.5</v>
      </c>
      <c r="F22" s="58">
        <v>3</v>
      </c>
      <c r="G22" s="58">
        <v>3.5</v>
      </c>
    </row>
    <row r="23" spans="1:7" x14ac:dyDescent="0.25">
      <c r="A23" s="51" t="s">
        <v>449</v>
      </c>
      <c r="B23" s="58">
        <v>1</v>
      </c>
      <c r="C23" s="58">
        <v>1.5</v>
      </c>
      <c r="D23" s="58">
        <v>2</v>
      </c>
      <c r="E23" s="58">
        <v>2.5</v>
      </c>
      <c r="F23" s="58">
        <v>3</v>
      </c>
      <c r="G23" s="58">
        <v>3.5</v>
      </c>
    </row>
    <row r="24" spans="1:7" x14ac:dyDescent="0.25">
      <c r="A24" s="51" t="s">
        <v>450</v>
      </c>
      <c r="B24" s="58">
        <v>1</v>
      </c>
      <c r="C24" s="58">
        <v>1.5</v>
      </c>
      <c r="D24" s="58">
        <v>2</v>
      </c>
      <c r="E24" s="58">
        <v>2.5</v>
      </c>
      <c r="F24" s="58">
        <v>3</v>
      </c>
      <c r="G24" s="58">
        <v>3.5</v>
      </c>
    </row>
    <row r="25" spans="1:7" x14ac:dyDescent="0.25">
      <c r="A25" s="51" t="s">
        <v>451</v>
      </c>
      <c r="B25" s="58">
        <v>1</v>
      </c>
      <c r="C25" s="58">
        <v>1.5</v>
      </c>
      <c r="D25" s="58">
        <v>2</v>
      </c>
      <c r="E25" s="58">
        <v>2.5</v>
      </c>
      <c r="F25" s="58">
        <v>3</v>
      </c>
      <c r="G25" s="58">
        <v>3.5</v>
      </c>
    </row>
    <row r="26" spans="1:7" x14ac:dyDescent="0.25">
      <c r="A26" s="51" t="s">
        <v>452</v>
      </c>
      <c r="B26" s="58">
        <v>1</v>
      </c>
      <c r="C26" s="58">
        <v>1.5</v>
      </c>
      <c r="D26" s="58">
        <v>2</v>
      </c>
      <c r="E26" s="58">
        <v>2.5</v>
      </c>
      <c r="F26" s="58">
        <v>3</v>
      </c>
      <c r="G26" s="58">
        <v>3.5</v>
      </c>
    </row>
    <row r="27" spans="1:7" x14ac:dyDescent="0.25">
      <c r="A27" s="51" t="s">
        <v>456</v>
      </c>
      <c r="B27" s="58">
        <v>1</v>
      </c>
      <c r="C27" s="58">
        <v>1.5</v>
      </c>
      <c r="D27" s="58">
        <v>2</v>
      </c>
      <c r="E27" s="58">
        <v>2.5</v>
      </c>
      <c r="F27" s="58">
        <v>3</v>
      </c>
      <c r="G27" s="58">
        <v>3.5</v>
      </c>
    </row>
    <row r="28" spans="1:7" x14ac:dyDescent="0.25">
      <c r="A28" s="51" t="s">
        <v>454</v>
      </c>
      <c r="B28" s="58">
        <v>1</v>
      </c>
      <c r="C28" s="58">
        <v>1.5</v>
      </c>
      <c r="D28" s="58">
        <v>2</v>
      </c>
      <c r="E28" s="58">
        <v>2.5</v>
      </c>
      <c r="F28" s="58">
        <v>3</v>
      </c>
      <c r="G28" s="58">
        <v>3.5</v>
      </c>
    </row>
    <row r="29" spans="1:7" x14ac:dyDescent="0.25">
      <c r="A29" s="52"/>
      <c r="B29" s="52"/>
      <c r="C29" s="52"/>
      <c r="D29" s="52"/>
      <c r="E29" s="52"/>
      <c r="F29" s="52"/>
      <c r="G29" s="52"/>
    </row>
    <row r="30" spans="1:7" x14ac:dyDescent="0.25">
      <c r="A30" s="53" t="s">
        <v>457</v>
      </c>
      <c r="B30" s="59">
        <f>B8+B19</f>
        <v>18</v>
      </c>
      <c r="C30" s="59">
        <f t="shared" ref="C30:G30" si="2">C8+C19</f>
        <v>27</v>
      </c>
      <c r="D30" s="59">
        <f t="shared" si="2"/>
        <v>36</v>
      </c>
      <c r="E30" s="59">
        <f t="shared" si="2"/>
        <v>45</v>
      </c>
      <c r="F30" s="59">
        <f t="shared" si="2"/>
        <v>54</v>
      </c>
      <c r="G30" s="59">
        <f t="shared" si="2"/>
        <v>63</v>
      </c>
    </row>
    <row r="31" spans="1:7" x14ac:dyDescent="0.25">
      <c r="A31" s="56"/>
      <c r="B31" s="56"/>
      <c r="C31" s="56"/>
      <c r="D31" s="56"/>
      <c r="E31" s="56"/>
      <c r="F31" s="56"/>
      <c r="G31" s="56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81" customFormat="1" ht="37.5" customHeight="1" x14ac:dyDescent="0.45">
      <c r="A1" s="162" t="s">
        <v>458</v>
      </c>
      <c r="B1" s="162"/>
      <c r="C1" s="162"/>
      <c r="D1" s="162"/>
      <c r="E1" s="162"/>
      <c r="F1" s="162"/>
      <c r="G1" s="162"/>
    </row>
    <row r="2" spans="1:7" ht="14.25" x14ac:dyDescent="0.45">
      <c r="A2" s="144" t="str">
        <f>ENTIDAD</f>
        <v>Gobierno del Estado de Guanajuato</v>
      </c>
      <c r="B2" s="145"/>
      <c r="C2" s="145"/>
      <c r="D2" s="145"/>
      <c r="E2" s="145"/>
      <c r="F2" s="145"/>
      <c r="G2" s="146"/>
    </row>
    <row r="3" spans="1:7" ht="14.25" x14ac:dyDescent="0.45">
      <c r="A3" s="147" t="s">
        <v>459</v>
      </c>
      <c r="B3" s="148"/>
      <c r="C3" s="148"/>
      <c r="D3" s="148"/>
      <c r="E3" s="148"/>
      <c r="F3" s="148"/>
      <c r="G3" s="149"/>
    </row>
    <row r="4" spans="1:7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x14ac:dyDescent="0.25">
      <c r="A5" s="179" t="s">
        <v>3280</v>
      </c>
      <c r="B5" s="177" t="str">
        <f>ANIO5R</f>
        <v>2015 ¹ (c)</v>
      </c>
      <c r="C5" s="177" t="str">
        <f>ANIO4R</f>
        <v>2016 ¹ (c)</v>
      </c>
      <c r="D5" s="177" t="str">
        <f>ANIO3R</f>
        <v>2017 ¹ (c)</v>
      </c>
      <c r="E5" s="177" t="str">
        <f>ANIO2R</f>
        <v>2018 ¹ (c)</v>
      </c>
      <c r="F5" s="177" t="str">
        <f>ANIO1R</f>
        <v>2019 ¹ (c)</v>
      </c>
      <c r="G5" s="49">
        <f>ANIO_INFORME</f>
        <v>2020</v>
      </c>
    </row>
    <row r="6" spans="1:7" ht="32.1" customHeight="1" x14ac:dyDescent="0.25">
      <c r="A6" s="180"/>
      <c r="B6" s="178"/>
      <c r="C6" s="178"/>
      <c r="D6" s="178"/>
      <c r="E6" s="178"/>
      <c r="F6" s="178"/>
      <c r="G6" s="78" t="s">
        <v>3286</v>
      </c>
    </row>
    <row r="7" spans="1:7" x14ac:dyDescent="0.25">
      <c r="A7" s="50" t="s">
        <v>460</v>
      </c>
      <c r="B7" s="57">
        <f>SUM(B8:B19)</f>
        <v>9</v>
      </c>
      <c r="C7" s="57">
        <f t="shared" ref="C7:G7" si="0">SUM(C8:C19)</f>
        <v>12</v>
      </c>
      <c r="D7" s="57">
        <f t="shared" si="0"/>
        <v>15</v>
      </c>
      <c r="E7" s="57">
        <f t="shared" si="0"/>
        <v>18</v>
      </c>
      <c r="F7" s="57">
        <f t="shared" si="0"/>
        <v>21</v>
      </c>
      <c r="G7" s="57">
        <f t="shared" si="0"/>
        <v>24</v>
      </c>
    </row>
    <row r="8" spans="1:7" x14ac:dyDescent="0.25">
      <c r="A8" s="51" t="s">
        <v>461</v>
      </c>
      <c r="B8" s="58">
        <v>0.75</v>
      </c>
      <c r="C8" s="58">
        <v>1</v>
      </c>
      <c r="D8" s="58">
        <v>1.25</v>
      </c>
      <c r="E8" s="58">
        <v>1.5</v>
      </c>
      <c r="F8" s="58">
        <v>1.75</v>
      </c>
      <c r="G8" s="58">
        <v>2</v>
      </c>
    </row>
    <row r="9" spans="1:7" x14ac:dyDescent="0.25">
      <c r="A9" s="51" t="s">
        <v>462</v>
      </c>
      <c r="B9" s="58">
        <v>0.75</v>
      </c>
      <c r="C9" s="58">
        <v>1</v>
      </c>
      <c r="D9" s="58">
        <v>1.25</v>
      </c>
      <c r="E9" s="58">
        <v>1.5</v>
      </c>
      <c r="F9" s="58">
        <v>1.75</v>
      </c>
      <c r="G9" s="58">
        <v>2</v>
      </c>
    </row>
    <row r="10" spans="1:7" x14ac:dyDescent="0.25">
      <c r="A10" s="51" t="s">
        <v>463</v>
      </c>
      <c r="B10" s="58">
        <v>0.75</v>
      </c>
      <c r="C10" s="58">
        <v>1</v>
      </c>
      <c r="D10" s="58">
        <v>1.25</v>
      </c>
      <c r="E10" s="58">
        <v>1.5</v>
      </c>
      <c r="F10" s="58">
        <v>1.75</v>
      </c>
      <c r="G10" s="58">
        <v>2</v>
      </c>
    </row>
    <row r="11" spans="1:7" x14ac:dyDescent="0.25">
      <c r="A11" s="51" t="s">
        <v>464</v>
      </c>
      <c r="B11" s="58">
        <v>0.75</v>
      </c>
      <c r="C11" s="58">
        <v>1</v>
      </c>
      <c r="D11" s="58">
        <v>1.25</v>
      </c>
      <c r="E11" s="58">
        <v>1.5</v>
      </c>
      <c r="F11" s="58">
        <v>1.75</v>
      </c>
      <c r="G11" s="58">
        <v>2</v>
      </c>
    </row>
    <row r="12" spans="1:7" x14ac:dyDescent="0.25">
      <c r="A12" s="51" t="s">
        <v>465</v>
      </c>
      <c r="B12" s="58">
        <v>0.75</v>
      </c>
      <c r="C12" s="58">
        <v>1</v>
      </c>
      <c r="D12" s="58">
        <v>1.25</v>
      </c>
      <c r="E12" s="58">
        <v>1.5</v>
      </c>
      <c r="F12" s="58">
        <v>1.75</v>
      </c>
      <c r="G12" s="58">
        <v>2</v>
      </c>
    </row>
    <row r="13" spans="1:7" x14ac:dyDescent="0.25">
      <c r="A13" s="54" t="s">
        <v>466</v>
      </c>
      <c r="B13" s="58">
        <v>0.75</v>
      </c>
      <c r="C13" s="58">
        <v>1</v>
      </c>
      <c r="D13" s="58">
        <v>1.25</v>
      </c>
      <c r="E13" s="58">
        <v>1.5</v>
      </c>
      <c r="F13" s="58">
        <v>1.75</v>
      </c>
      <c r="G13" s="58">
        <v>2</v>
      </c>
    </row>
    <row r="14" spans="1:7" x14ac:dyDescent="0.25">
      <c r="A14" s="51" t="s">
        <v>467</v>
      </c>
      <c r="B14" s="58">
        <v>0.75</v>
      </c>
      <c r="C14" s="58">
        <v>1</v>
      </c>
      <c r="D14" s="58">
        <v>1.25</v>
      </c>
      <c r="E14" s="58">
        <v>1.5</v>
      </c>
      <c r="F14" s="58">
        <v>1.75</v>
      </c>
      <c r="G14" s="58">
        <v>2</v>
      </c>
    </row>
    <row r="15" spans="1:7" x14ac:dyDescent="0.25">
      <c r="A15" s="51" t="s">
        <v>468</v>
      </c>
      <c r="B15" s="58">
        <v>0.75</v>
      </c>
      <c r="C15" s="58">
        <v>1</v>
      </c>
      <c r="D15" s="58">
        <v>1.25</v>
      </c>
      <c r="E15" s="58">
        <v>1.5</v>
      </c>
      <c r="F15" s="58">
        <v>1.75</v>
      </c>
      <c r="G15" s="58">
        <v>2</v>
      </c>
    </row>
    <row r="16" spans="1:7" x14ac:dyDescent="0.25">
      <c r="A16" s="51" t="s">
        <v>469</v>
      </c>
      <c r="B16" s="58">
        <v>0.75</v>
      </c>
      <c r="C16" s="58">
        <v>1</v>
      </c>
      <c r="D16" s="58">
        <v>1.25</v>
      </c>
      <c r="E16" s="58">
        <v>1.5</v>
      </c>
      <c r="F16" s="58">
        <v>1.75</v>
      </c>
      <c r="G16" s="58">
        <v>2</v>
      </c>
    </row>
    <row r="17" spans="1:7" x14ac:dyDescent="0.25">
      <c r="A17" s="51" t="s">
        <v>3290</v>
      </c>
      <c r="B17" s="58">
        <v>0.75</v>
      </c>
      <c r="C17" s="58">
        <v>1</v>
      </c>
      <c r="D17" s="58">
        <v>1.25</v>
      </c>
      <c r="E17" s="58">
        <v>1.5</v>
      </c>
      <c r="F17" s="58">
        <v>1.75</v>
      </c>
      <c r="G17" s="58">
        <v>2</v>
      </c>
    </row>
    <row r="18" spans="1:7" x14ac:dyDescent="0.25">
      <c r="A18" s="51" t="s">
        <v>470</v>
      </c>
      <c r="B18" s="58">
        <v>0.75</v>
      </c>
      <c r="C18" s="58">
        <v>1</v>
      </c>
      <c r="D18" s="58">
        <v>1.25</v>
      </c>
      <c r="E18" s="58">
        <v>1.5</v>
      </c>
      <c r="F18" s="58">
        <v>1.75</v>
      </c>
      <c r="G18" s="58">
        <v>2</v>
      </c>
    </row>
    <row r="19" spans="1:7" x14ac:dyDescent="0.25">
      <c r="A19" s="51" t="s">
        <v>471</v>
      </c>
      <c r="B19" s="58">
        <v>0.75</v>
      </c>
      <c r="C19" s="58">
        <v>1</v>
      </c>
      <c r="D19" s="58">
        <v>1.25</v>
      </c>
      <c r="E19" s="58">
        <v>1.5</v>
      </c>
      <c r="F19" s="58">
        <v>1.75</v>
      </c>
      <c r="G19" s="58">
        <v>2</v>
      </c>
    </row>
    <row r="20" spans="1:7" ht="14.25" x14ac:dyDescent="0.45">
      <c r="A20" s="52"/>
      <c r="B20" s="52"/>
      <c r="C20" s="52"/>
      <c r="D20" s="52"/>
      <c r="E20" s="52"/>
      <c r="F20" s="52"/>
      <c r="G20" s="52"/>
    </row>
    <row r="21" spans="1:7" x14ac:dyDescent="0.25">
      <c r="A21" s="53" t="s">
        <v>477</v>
      </c>
      <c r="B21" s="59">
        <f>SUM(B22:B26)</f>
        <v>3.75</v>
      </c>
      <c r="C21" s="59">
        <f t="shared" ref="C21:G21" si="1">SUM(C22:C26)</f>
        <v>5</v>
      </c>
      <c r="D21" s="59">
        <f t="shared" si="1"/>
        <v>6.25</v>
      </c>
      <c r="E21" s="59">
        <f t="shared" si="1"/>
        <v>7.5</v>
      </c>
      <c r="F21" s="59">
        <f t="shared" si="1"/>
        <v>8.75</v>
      </c>
      <c r="G21" s="59">
        <f t="shared" si="1"/>
        <v>10</v>
      </c>
    </row>
    <row r="22" spans="1:7" x14ac:dyDescent="0.25">
      <c r="A22" s="51" t="s">
        <v>472</v>
      </c>
      <c r="B22" s="58">
        <v>0.75</v>
      </c>
      <c r="C22" s="58">
        <v>1</v>
      </c>
      <c r="D22" s="58">
        <v>1.25</v>
      </c>
      <c r="E22" s="58">
        <v>1.5</v>
      </c>
      <c r="F22" s="58">
        <v>1.75</v>
      </c>
      <c r="G22" s="58">
        <v>2</v>
      </c>
    </row>
    <row r="23" spans="1:7" x14ac:dyDescent="0.25">
      <c r="A23" s="51" t="s">
        <v>473</v>
      </c>
      <c r="B23" s="58">
        <v>0.75</v>
      </c>
      <c r="C23" s="58">
        <v>1</v>
      </c>
      <c r="D23" s="58">
        <v>1.25</v>
      </c>
      <c r="E23" s="58">
        <v>1.5</v>
      </c>
      <c r="F23" s="58">
        <v>1.75</v>
      </c>
      <c r="G23" s="58">
        <v>2</v>
      </c>
    </row>
    <row r="24" spans="1:7" x14ac:dyDescent="0.25">
      <c r="A24" s="51" t="s">
        <v>474</v>
      </c>
      <c r="B24" s="58">
        <v>0.75</v>
      </c>
      <c r="C24" s="58">
        <v>1</v>
      </c>
      <c r="D24" s="58">
        <v>1.25</v>
      </c>
      <c r="E24" s="58">
        <v>1.5</v>
      </c>
      <c r="F24" s="58">
        <v>1.75</v>
      </c>
      <c r="G24" s="58">
        <v>2</v>
      </c>
    </row>
    <row r="25" spans="1:7" x14ac:dyDescent="0.25">
      <c r="A25" s="51" t="s">
        <v>475</v>
      </c>
      <c r="B25" s="58">
        <v>0.75</v>
      </c>
      <c r="C25" s="58">
        <v>1</v>
      </c>
      <c r="D25" s="58">
        <v>1.25</v>
      </c>
      <c r="E25" s="58">
        <v>1.5</v>
      </c>
      <c r="F25" s="58">
        <v>1.75</v>
      </c>
      <c r="G25" s="58">
        <v>2</v>
      </c>
    </row>
    <row r="26" spans="1:7" x14ac:dyDescent="0.25">
      <c r="A26" s="51" t="s">
        <v>476</v>
      </c>
      <c r="B26" s="58">
        <v>0.75</v>
      </c>
      <c r="C26" s="58">
        <v>1</v>
      </c>
      <c r="D26" s="58">
        <v>1.25</v>
      </c>
      <c r="E26" s="58">
        <v>1.5</v>
      </c>
      <c r="F26" s="58">
        <v>1.75</v>
      </c>
      <c r="G26" s="58">
        <v>2</v>
      </c>
    </row>
    <row r="27" spans="1:7" ht="14.25" x14ac:dyDescent="0.45">
      <c r="A27" s="52"/>
      <c r="B27" s="52"/>
      <c r="C27" s="52"/>
      <c r="D27" s="52"/>
      <c r="E27" s="52"/>
      <c r="F27" s="52"/>
      <c r="G27" s="52"/>
    </row>
    <row r="28" spans="1:7" x14ac:dyDescent="0.25">
      <c r="A28" s="53" t="s">
        <v>478</v>
      </c>
      <c r="B28" s="59">
        <f>B29</f>
        <v>0.75</v>
      </c>
      <c r="C28" s="59">
        <f t="shared" ref="C28:G28" si="2">C29</f>
        <v>1</v>
      </c>
      <c r="D28" s="59">
        <f t="shared" si="2"/>
        <v>1.25</v>
      </c>
      <c r="E28" s="59">
        <f t="shared" si="2"/>
        <v>1.5</v>
      </c>
      <c r="F28" s="59">
        <f t="shared" si="2"/>
        <v>1.75</v>
      </c>
      <c r="G28" s="59">
        <f t="shared" si="2"/>
        <v>2</v>
      </c>
    </row>
    <row r="29" spans="1:7" x14ac:dyDescent="0.25">
      <c r="A29" s="51" t="s">
        <v>269</v>
      </c>
      <c r="B29" s="58">
        <v>0.75</v>
      </c>
      <c r="C29" s="58">
        <v>1</v>
      </c>
      <c r="D29" s="58">
        <v>1.25</v>
      </c>
      <c r="E29" s="58">
        <v>1.5</v>
      </c>
      <c r="F29" s="58">
        <v>1.75</v>
      </c>
      <c r="G29" s="58">
        <v>2</v>
      </c>
    </row>
    <row r="30" spans="1:7" x14ac:dyDescent="0.25">
      <c r="A30" s="52"/>
      <c r="B30" s="52"/>
      <c r="C30" s="52"/>
      <c r="D30" s="52"/>
      <c r="E30" s="52"/>
      <c r="F30" s="52"/>
      <c r="G30" s="52"/>
    </row>
    <row r="31" spans="1:7" x14ac:dyDescent="0.25">
      <c r="A31" s="53" t="s">
        <v>479</v>
      </c>
      <c r="B31" s="59">
        <f>B7+B21+B28</f>
        <v>13.5</v>
      </c>
      <c r="C31" s="59">
        <f t="shared" ref="C31:G31" si="3">C7+C21+C28</f>
        <v>18</v>
      </c>
      <c r="D31" s="59">
        <f t="shared" si="3"/>
        <v>22.5</v>
      </c>
      <c r="E31" s="59">
        <f t="shared" si="3"/>
        <v>27</v>
      </c>
      <c r="F31" s="59">
        <f t="shared" si="3"/>
        <v>31.5</v>
      </c>
      <c r="G31" s="59">
        <f t="shared" si="3"/>
        <v>36</v>
      </c>
    </row>
    <row r="32" spans="1:7" x14ac:dyDescent="0.25">
      <c r="A32" s="52"/>
      <c r="B32" s="52"/>
      <c r="C32" s="52"/>
      <c r="D32" s="52"/>
      <c r="E32" s="52"/>
      <c r="F32" s="52"/>
      <c r="G32" s="52"/>
    </row>
    <row r="33" spans="1:7" x14ac:dyDescent="0.25">
      <c r="A33" s="53" t="s">
        <v>271</v>
      </c>
      <c r="B33" s="52"/>
      <c r="C33" s="52"/>
      <c r="D33" s="52"/>
      <c r="E33" s="52"/>
      <c r="F33" s="52"/>
      <c r="G33" s="52"/>
    </row>
    <row r="34" spans="1:7" ht="30" x14ac:dyDescent="0.25">
      <c r="A34" s="55" t="s">
        <v>428</v>
      </c>
      <c r="B34" s="58">
        <v>0.75</v>
      </c>
      <c r="C34" s="58">
        <v>1</v>
      </c>
      <c r="D34" s="58">
        <v>1.25</v>
      </c>
      <c r="E34" s="58">
        <v>1.5</v>
      </c>
      <c r="F34" s="58">
        <v>1.75</v>
      </c>
      <c r="G34" s="58">
        <v>2</v>
      </c>
    </row>
    <row r="35" spans="1:7" ht="30" x14ac:dyDescent="0.25">
      <c r="A35" s="55" t="s">
        <v>480</v>
      </c>
      <c r="B35" s="58">
        <v>0.75</v>
      </c>
      <c r="C35" s="58">
        <v>1</v>
      </c>
      <c r="D35" s="58">
        <v>1.25</v>
      </c>
      <c r="E35" s="58">
        <v>1.5</v>
      </c>
      <c r="F35" s="58">
        <v>1.75</v>
      </c>
      <c r="G35" s="58">
        <v>2</v>
      </c>
    </row>
    <row r="36" spans="1:7" x14ac:dyDescent="0.25">
      <c r="A36" s="53" t="s">
        <v>481</v>
      </c>
      <c r="B36" s="59">
        <f>B34+B35</f>
        <v>1.5</v>
      </c>
      <c r="C36" s="59">
        <f t="shared" ref="C36:G36" si="4">C34+C35</f>
        <v>2</v>
      </c>
      <c r="D36" s="59">
        <f t="shared" si="4"/>
        <v>2.5</v>
      </c>
      <c r="E36" s="59">
        <f t="shared" si="4"/>
        <v>3</v>
      </c>
      <c r="F36" s="59">
        <f t="shared" si="4"/>
        <v>3.5</v>
      </c>
      <c r="G36" s="59">
        <f t="shared" si="4"/>
        <v>4</v>
      </c>
    </row>
    <row r="37" spans="1:7" x14ac:dyDescent="0.25">
      <c r="A37" s="63"/>
      <c r="B37" s="63"/>
      <c r="C37" s="63"/>
      <c r="D37" s="63"/>
      <c r="E37" s="63"/>
      <c r="F37" s="63"/>
      <c r="G37" s="63"/>
    </row>
    <row r="38" spans="1:7" x14ac:dyDescent="0.25">
      <c r="A38" s="80"/>
    </row>
    <row r="39" spans="1:7" ht="15" customHeight="1" x14ac:dyDescent="0.25">
      <c r="A39" s="176" t="s">
        <v>3284</v>
      </c>
      <c r="B39" s="176"/>
      <c r="C39" s="176"/>
      <c r="D39" s="176"/>
      <c r="E39" s="176"/>
      <c r="F39" s="176"/>
      <c r="G39" s="176"/>
    </row>
    <row r="40" spans="1:7" ht="15" customHeight="1" x14ac:dyDescent="0.25">
      <c r="A40" s="176" t="s">
        <v>3285</v>
      </c>
      <c r="B40" s="176"/>
      <c r="C40" s="176"/>
      <c r="D40" s="176"/>
      <c r="E40" s="176"/>
      <c r="F40" s="176"/>
      <c r="G40" s="176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81" customFormat="1" ht="37.5" customHeight="1" x14ac:dyDescent="0.45">
      <c r="A1" s="162" t="s">
        <v>482</v>
      </c>
      <c r="B1" s="162"/>
      <c r="C1" s="162"/>
      <c r="D1" s="162"/>
      <c r="E1" s="162"/>
      <c r="F1" s="162"/>
      <c r="G1" s="162"/>
    </row>
    <row r="2" spans="1:7" ht="14.25" x14ac:dyDescent="0.45">
      <c r="A2" s="144" t="str">
        <f>ENTIDAD</f>
        <v>Gobierno del Estado de Guanajuato</v>
      </c>
      <c r="B2" s="145"/>
      <c r="C2" s="145"/>
      <c r="D2" s="145"/>
      <c r="E2" s="145"/>
      <c r="F2" s="145"/>
      <c r="G2" s="146"/>
    </row>
    <row r="3" spans="1:7" ht="14.25" x14ac:dyDescent="0.45">
      <c r="A3" s="147" t="s">
        <v>483</v>
      </c>
      <c r="B3" s="148"/>
      <c r="C3" s="148"/>
      <c r="D3" s="148"/>
      <c r="E3" s="148"/>
      <c r="F3" s="148"/>
      <c r="G3" s="149"/>
    </row>
    <row r="4" spans="1:7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x14ac:dyDescent="0.25">
      <c r="A5" s="181" t="s">
        <v>3134</v>
      </c>
      <c r="B5" s="177" t="str">
        <f>ANIO5R</f>
        <v>2015 ¹ (c)</v>
      </c>
      <c r="C5" s="177" t="str">
        <f>ANIO4R</f>
        <v>2016 ¹ (c)</v>
      </c>
      <c r="D5" s="177" t="str">
        <f>ANIO3R</f>
        <v>2017 ¹ (c)</v>
      </c>
      <c r="E5" s="177" t="str">
        <f>ANIO2R</f>
        <v>2018 ¹ (c)</v>
      </c>
      <c r="F5" s="177" t="str">
        <f>ANIO1R</f>
        <v>2019 ¹ (c)</v>
      </c>
      <c r="G5" s="49">
        <f>ANIO_INFORME</f>
        <v>2020</v>
      </c>
    </row>
    <row r="6" spans="1:7" ht="32.1" customHeight="1" x14ac:dyDescent="0.25">
      <c r="A6" s="182"/>
      <c r="B6" s="178"/>
      <c r="C6" s="178"/>
      <c r="D6" s="178"/>
      <c r="E6" s="178"/>
      <c r="F6" s="178"/>
      <c r="G6" s="78" t="s">
        <v>3287</v>
      </c>
    </row>
    <row r="7" spans="1:7" ht="14.25" x14ac:dyDescent="0.45">
      <c r="A7" s="50" t="s">
        <v>484</v>
      </c>
      <c r="B7" s="57">
        <f>SUM(B8:B16)</f>
        <v>6.75</v>
      </c>
      <c r="C7" s="57">
        <f t="shared" ref="C7:G7" si="0">SUM(C8:C16)</f>
        <v>9</v>
      </c>
      <c r="D7" s="57">
        <f t="shared" si="0"/>
        <v>11.25</v>
      </c>
      <c r="E7" s="57">
        <f t="shared" si="0"/>
        <v>13.5</v>
      </c>
      <c r="F7" s="57">
        <f t="shared" si="0"/>
        <v>15.75</v>
      </c>
      <c r="G7" s="57">
        <f t="shared" si="0"/>
        <v>18</v>
      </c>
    </row>
    <row r="8" spans="1:7" x14ac:dyDescent="0.25">
      <c r="A8" s="51" t="s">
        <v>446</v>
      </c>
      <c r="B8" s="58">
        <v>0.75</v>
      </c>
      <c r="C8" s="58">
        <v>1</v>
      </c>
      <c r="D8" s="58">
        <v>1.25</v>
      </c>
      <c r="E8" s="58">
        <v>1.5</v>
      </c>
      <c r="F8" s="58">
        <v>1.75</v>
      </c>
      <c r="G8" s="58">
        <v>2</v>
      </c>
    </row>
    <row r="9" spans="1:7" x14ac:dyDescent="0.25">
      <c r="A9" s="51" t="s">
        <v>447</v>
      </c>
      <c r="B9" s="58">
        <v>0.75</v>
      </c>
      <c r="C9" s="58">
        <v>1</v>
      </c>
      <c r="D9" s="58">
        <v>1.25</v>
      </c>
      <c r="E9" s="58">
        <v>1.5</v>
      </c>
      <c r="F9" s="58">
        <v>1.75</v>
      </c>
      <c r="G9" s="58">
        <v>2</v>
      </c>
    </row>
    <row r="10" spans="1:7" x14ac:dyDescent="0.25">
      <c r="A10" s="51" t="s">
        <v>448</v>
      </c>
      <c r="B10" s="58">
        <v>0.75</v>
      </c>
      <c r="C10" s="58">
        <v>1</v>
      </c>
      <c r="D10" s="58">
        <v>1.25</v>
      </c>
      <c r="E10" s="58">
        <v>1.5</v>
      </c>
      <c r="F10" s="58">
        <v>1.75</v>
      </c>
      <c r="G10" s="58">
        <v>2</v>
      </c>
    </row>
    <row r="11" spans="1:7" x14ac:dyDescent="0.25">
      <c r="A11" s="51" t="s">
        <v>449</v>
      </c>
      <c r="B11" s="58">
        <v>0.75</v>
      </c>
      <c r="C11" s="58">
        <v>1</v>
      </c>
      <c r="D11" s="58">
        <v>1.25</v>
      </c>
      <c r="E11" s="58">
        <v>1.5</v>
      </c>
      <c r="F11" s="58">
        <v>1.75</v>
      </c>
      <c r="G11" s="58">
        <v>2</v>
      </c>
    </row>
    <row r="12" spans="1:7" x14ac:dyDescent="0.25">
      <c r="A12" s="51" t="s">
        <v>450</v>
      </c>
      <c r="B12" s="58">
        <v>0.75</v>
      </c>
      <c r="C12" s="58">
        <v>1</v>
      </c>
      <c r="D12" s="58">
        <v>1.25</v>
      </c>
      <c r="E12" s="58">
        <v>1.5</v>
      </c>
      <c r="F12" s="58">
        <v>1.75</v>
      </c>
      <c r="G12" s="58">
        <v>2</v>
      </c>
    </row>
    <row r="13" spans="1:7" x14ac:dyDescent="0.25">
      <c r="A13" s="51" t="s">
        <v>451</v>
      </c>
      <c r="B13" s="58">
        <v>0.75</v>
      </c>
      <c r="C13" s="58">
        <v>1</v>
      </c>
      <c r="D13" s="58">
        <v>1.25</v>
      </c>
      <c r="E13" s="58">
        <v>1.5</v>
      </c>
      <c r="F13" s="58">
        <v>1.75</v>
      </c>
      <c r="G13" s="58">
        <v>2</v>
      </c>
    </row>
    <row r="14" spans="1:7" x14ac:dyDescent="0.25">
      <c r="A14" s="51" t="s">
        <v>452</v>
      </c>
      <c r="B14" s="58">
        <v>0.75</v>
      </c>
      <c r="C14" s="58">
        <v>1</v>
      </c>
      <c r="D14" s="58">
        <v>1.25</v>
      </c>
      <c r="E14" s="58">
        <v>1.5</v>
      </c>
      <c r="F14" s="58">
        <v>1.75</v>
      </c>
      <c r="G14" s="58">
        <v>2</v>
      </c>
    </row>
    <row r="15" spans="1:7" x14ac:dyDescent="0.25">
      <c r="A15" s="51" t="s">
        <v>453</v>
      </c>
      <c r="B15" s="58">
        <v>0.75</v>
      </c>
      <c r="C15" s="58">
        <v>1</v>
      </c>
      <c r="D15" s="58">
        <v>1.25</v>
      </c>
      <c r="E15" s="58">
        <v>1.5</v>
      </c>
      <c r="F15" s="58">
        <v>1.75</v>
      </c>
      <c r="G15" s="58">
        <v>2</v>
      </c>
    </row>
    <row r="16" spans="1:7" x14ac:dyDescent="0.25">
      <c r="A16" s="51" t="s">
        <v>454</v>
      </c>
      <c r="B16" s="58">
        <v>0.75</v>
      </c>
      <c r="C16" s="58">
        <v>1</v>
      </c>
      <c r="D16" s="58">
        <v>1.25</v>
      </c>
      <c r="E16" s="58">
        <v>1.5</v>
      </c>
      <c r="F16" s="58">
        <v>1.75</v>
      </c>
      <c r="G16" s="58">
        <v>2</v>
      </c>
    </row>
    <row r="17" spans="1:7" ht="14.25" x14ac:dyDescent="0.45">
      <c r="A17" s="52"/>
      <c r="B17" s="52"/>
      <c r="C17" s="52"/>
      <c r="D17" s="52"/>
      <c r="E17" s="52"/>
      <c r="F17" s="52"/>
      <c r="G17" s="52"/>
    </row>
    <row r="18" spans="1:7" ht="14.25" x14ac:dyDescent="0.45">
      <c r="A18" s="53" t="s">
        <v>485</v>
      </c>
      <c r="B18" s="59">
        <f>SUM(B19:B27)</f>
        <v>6.75</v>
      </c>
      <c r="C18" s="59">
        <f t="shared" ref="C18:G18" si="1">SUM(C19:C27)</f>
        <v>9</v>
      </c>
      <c r="D18" s="59">
        <f t="shared" si="1"/>
        <v>11.25</v>
      </c>
      <c r="E18" s="59">
        <f t="shared" si="1"/>
        <v>13.5</v>
      </c>
      <c r="F18" s="59">
        <f t="shared" si="1"/>
        <v>15.75</v>
      </c>
      <c r="G18" s="59">
        <f t="shared" si="1"/>
        <v>18</v>
      </c>
    </row>
    <row r="19" spans="1:7" x14ac:dyDescent="0.25">
      <c r="A19" s="51" t="s">
        <v>446</v>
      </c>
      <c r="B19" s="58">
        <v>0.75</v>
      </c>
      <c r="C19" s="58">
        <v>1</v>
      </c>
      <c r="D19" s="58">
        <v>1.25</v>
      </c>
      <c r="E19" s="58">
        <v>1.5</v>
      </c>
      <c r="F19" s="58">
        <v>1.75</v>
      </c>
      <c r="G19" s="58">
        <v>2</v>
      </c>
    </row>
    <row r="20" spans="1:7" x14ac:dyDescent="0.25">
      <c r="A20" s="51" t="s">
        <v>447</v>
      </c>
      <c r="B20" s="58">
        <v>0.75</v>
      </c>
      <c r="C20" s="58">
        <v>1</v>
      </c>
      <c r="D20" s="58">
        <v>1.25</v>
      </c>
      <c r="E20" s="58">
        <v>1.5</v>
      </c>
      <c r="F20" s="58">
        <v>1.75</v>
      </c>
      <c r="G20" s="58">
        <v>2</v>
      </c>
    </row>
    <row r="21" spans="1:7" x14ac:dyDescent="0.25">
      <c r="A21" s="51" t="s">
        <v>448</v>
      </c>
      <c r="B21" s="58">
        <v>0.75</v>
      </c>
      <c r="C21" s="58">
        <v>1</v>
      </c>
      <c r="D21" s="58">
        <v>1.25</v>
      </c>
      <c r="E21" s="58">
        <v>1.5</v>
      </c>
      <c r="F21" s="58">
        <v>1.75</v>
      </c>
      <c r="G21" s="58">
        <v>2</v>
      </c>
    </row>
    <row r="22" spans="1:7" x14ac:dyDescent="0.25">
      <c r="A22" s="51" t="s">
        <v>449</v>
      </c>
      <c r="B22" s="58">
        <v>0.75</v>
      </c>
      <c r="C22" s="58">
        <v>1</v>
      </c>
      <c r="D22" s="58">
        <v>1.25</v>
      </c>
      <c r="E22" s="58">
        <v>1.5</v>
      </c>
      <c r="F22" s="58">
        <v>1.75</v>
      </c>
      <c r="G22" s="58">
        <v>2</v>
      </c>
    </row>
    <row r="23" spans="1:7" x14ac:dyDescent="0.25">
      <c r="A23" s="51" t="s">
        <v>450</v>
      </c>
      <c r="B23" s="58">
        <v>0.75</v>
      </c>
      <c r="C23" s="58">
        <v>1</v>
      </c>
      <c r="D23" s="58">
        <v>1.25</v>
      </c>
      <c r="E23" s="58">
        <v>1.5</v>
      </c>
      <c r="F23" s="58">
        <v>1.75</v>
      </c>
      <c r="G23" s="58">
        <v>2</v>
      </c>
    </row>
    <row r="24" spans="1:7" x14ac:dyDescent="0.25">
      <c r="A24" s="51" t="s">
        <v>451</v>
      </c>
      <c r="B24" s="58">
        <v>0.75</v>
      </c>
      <c r="C24" s="58">
        <v>1</v>
      </c>
      <c r="D24" s="58">
        <v>1.25</v>
      </c>
      <c r="E24" s="58">
        <v>1.5</v>
      </c>
      <c r="F24" s="58">
        <v>1.75</v>
      </c>
      <c r="G24" s="58">
        <v>2</v>
      </c>
    </row>
    <row r="25" spans="1:7" x14ac:dyDescent="0.25">
      <c r="A25" s="51" t="s">
        <v>452</v>
      </c>
      <c r="B25" s="58">
        <v>0.75</v>
      </c>
      <c r="C25" s="58">
        <v>1</v>
      </c>
      <c r="D25" s="58">
        <v>1.25</v>
      </c>
      <c r="E25" s="58">
        <v>1.5</v>
      </c>
      <c r="F25" s="58">
        <v>1.75</v>
      </c>
      <c r="G25" s="58">
        <v>2</v>
      </c>
    </row>
    <row r="26" spans="1:7" x14ac:dyDescent="0.25">
      <c r="A26" s="51" t="s">
        <v>456</v>
      </c>
      <c r="B26" s="58">
        <v>0.75</v>
      </c>
      <c r="C26" s="58">
        <v>1</v>
      </c>
      <c r="D26" s="58">
        <v>1.25</v>
      </c>
      <c r="E26" s="58">
        <v>1.5</v>
      </c>
      <c r="F26" s="58">
        <v>1.75</v>
      </c>
      <c r="G26" s="58">
        <v>2</v>
      </c>
    </row>
    <row r="27" spans="1:7" x14ac:dyDescent="0.25">
      <c r="A27" s="51" t="s">
        <v>454</v>
      </c>
      <c r="B27" s="58">
        <v>0.75</v>
      </c>
      <c r="C27" s="58">
        <v>1</v>
      </c>
      <c r="D27" s="58">
        <v>1.25</v>
      </c>
      <c r="E27" s="58">
        <v>1.5</v>
      </c>
      <c r="F27" s="58">
        <v>1.75</v>
      </c>
      <c r="G27" s="58">
        <v>2</v>
      </c>
    </row>
    <row r="28" spans="1:7" ht="14.25" x14ac:dyDescent="0.45">
      <c r="A28" s="52"/>
      <c r="B28" s="52"/>
      <c r="C28" s="52"/>
      <c r="D28" s="52"/>
      <c r="E28" s="52"/>
      <c r="F28" s="52"/>
      <c r="G28" s="52"/>
    </row>
    <row r="29" spans="1:7" x14ac:dyDescent="0.25">
      <c r="A29" s="53" t="s">
        <v>486</v>
      </c>
      <c r="B29" s="58">
        <f>B7+B18</f>
        <v>13.5</v>
      </c>
      <c r="C29" s="58">
        <f t="shared" ref="C29:G29" si="2">C7+C18</f>
        <v>18</v>
      </c>
      <c r="D29" s="58">
        <f t="shared" si="2"/>
        <v>22.5</v>
      </c>
      <c r="E29" s="58">
        <f t="shared" si="2"/>
        <v>27</v>
      </c>
      <c r="F29" s="58">
        <f t="shared" si="2"/>
        <v>31.5</v>
      </c>
      <c r="G29" s="58">
        <f t="shared" si="2"/>
        <v>36</v>
      </c>
    </row>
    <row r="30" spans="1:7" x14ac:dyDescent="0.25">
      <c r="A30" s="56"/>
      <c r="B30" s="56"/>
      <c r="C30" s="56"/>
      <c r="D30" s="56"/>
      <c r="E30" s="56"/>
      <c r="F30" s="56"/>
      <c r="G30" s="56"/>
    </row>
    <row r="31" spans="1:7" x14ac:dyDescent="0.25">
      <c r="A31" s="80"/>
    </row>
    <row r="32" spans="1:7" x14ac:dyDescent="0.25">
      <c r="A32" s="176" t="s">
        <v>3284</v>
      </c>
      <c r="B32" s="176"/>
      <c r="C32" s="176"/>
      <c r="D32" s="176"/>
      <c r="E32" s="176"/>
      <c r="F32" s="176"/>
      <c r="G32" s="176"/>
    </row>
    <row r="33" spans="1:7" x14ac:dyDescent="0.25">
      <c r="A33" s="176" t="s">
        <v>3285</v>
      </c>
      <c r="B33" s="176"/>
      <c r="C33" s="176"/>
      <c r="D33" s="176"/>
      <c r="E33" s="176"/>
      <c r="F33" s="176"/>
      <c r="G33" s="176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81" customFormat="1" ht="34.5" customHeight="1" x14ac:dyDescent="0.25">
      <c r="A1" s="156" t="s">
        <v>487</v>
      </c>
      <c r="B1" s="156"/>
      <c r="C1" s="156"/>
      <c r="D1" s="156"/>
      <c r="E1" s="156"/>
      <c r="F1" s="156"/>
      <c r="G1" s="101"/>
    </row>
    <row r="2" spans="1:7" ht="14.25" x14ac:dyDescent="0.45">
      <c r="A2" s="144" t="str">
        <f>ENTE_PUBLICO</f>
        <v>MUNICIPIO DE SILAO DE LA VICTORIA, Gobierno del Estado de Guanajuato</v>
      </c>
      <c r="B2" s="145"/>
      <c r="C2" s="145"/>
      <c r="D2" s="145"/>
      <c r="E2" s="145"/>
      <c r="F2" s="146"/>
    </row>
    <row r="3" spans="1:7" ht="14.25" x14ac:dyDescent="0.45">
      <c r="A3" s="153" t="s">
        <v>488</v>
      </c>
      <c r="B3" s="154"/>
      <c r="C3" s="154"/>
      <c r="D3" s="154"/>
      <c r="E3" s="154"/>
      <c r="F3" s="155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23" t="s">
        <v>494</v>
      </c>
      <c r="B5" s="5"/>
      <c r="C5" s="5"/>
      <c r="D5" s="5"/>
      <c r="E5" s="5"/>
      <c r="F5" s="5"/>
    </row>
    <row r="6" spans="1:7" ht="30" x14ac:dyDescent="0.25">
      <c r="A6" s="124" t="s">
        <v>495</v>
      </c>
      <c r="B6" s="58"/>
      <c r="C6" s="58"/>
      <c r="D6" s="58"/>
      <c r="E6" s="58"/>
      <c r="F6" s="58"/>
    </row>
    <row r="7" spans="1:7" x14ac:dyDescent="0.25">
      <c r="A7" s="124" t="s">
        <v>496</v>
      </c>
      <c r="B7" s="58"/>
      <c r="C7" s="58"/>
      <c r="D7" s="58"/>
      <c r="E7" s="58"/>
      <c r="F7" s="58"/>
    </row>
    <row r="8" spans="1:7" ht="14.25" x14ac:dyDescent="0.45">
      <c r="A8" s="125"/>
      <c r="B8" s="52"/>
      <c r="C8" s="52"/>
      <c r="D8" s="52"/>
      <c r="E8" s="52"/>
      <c r="F8" s="52"/>
    </row>
    <row r="9" spans="1:7" x14ac:dyDescent="0.25">
      <c r="A9" s="123" t="s">
        <v>497</v>
      </c>
      <c r="B9" s="52"/>
      <c r="C9" s="52"/>
      <c r="D9" s="52"/>
      <c r="E9" s="52"/>
      <c r="F9" s="52"/>
    </row>
    <row r="10" spans="1:7" ht="14.25" x14ac:dyDescent="0.45">
      <c r="A10" s="124" t="s">
        <v>498</v>
      </c>
      <c r="B10" s="58"/>
      <c r="C10" s="58"/>
      <c r="D10" s="58"/>
      <c r="E10" s="58"/>
      <c r="F10" s="58"/>
    </row>
    <row r="11" spans="1:7" x14ac:dyDescent="0.25">
      <c r="A11" s="126" t="s">
        <v>499</v>
      </c>
      <c r="B11" s="58"/>
      <c r="C11" s="58"/>
      <c r="D11" s="58"/>
      <c r="E11" s="58"/>
      <c r="F11" s="58"/>
    </row>
    <row r="12" spans="1:7" x14ac:dyDescent="0.25">
      <c r="A12" s="126" t="s">
        <v>500</v>
      </c>
      <c r="B12" s="58"/>
      <c r="C12" s="58"/>
      <c r="D12" s="58"/>
      <c r="E12" s="58"/>
      <c r="F12" s="58"/>
    </row>
    <row r="13" spans="1:7" ht="14.25" x14ac:dyDescent="0.45">
      <c r="A13" s="126" t="s">
        <v>501</v>
      </c>
      <c r="B13" s="58"/>
      <c r="C13" s="58"/>
      <c r="D13" s="58"/>
      <c r="E13" s="58"/>
      <c r="F13" s="58"/>
    </row>
    <row r="14" spans="1:7" ht="14.25" x14ac:dyDescent="0.45">
      <c r="A14" s="124" t="s">
        <v>502</v>
      </c>
      <c r="B14" s="58"/>
      <c r="C14" s="58"/>
      <c r="D14" s="58"/>
      <c r="E14" s="58"/>
      <c r="F14" s="58"/>
    </row>
    <row r="15" spans="1:7" x14ac:dyDescent="0.25">
      <c r="A15" s="126" t="s">
        <v>499</v>
      </c>
      <c r="B15" s="58"/>
      <c r="C15" s="58"/>
      <c r="D15" s="58"/>
      <c r="E15" s="58"/>
      <c r="F15" s="58"/>
    </row>
    <row r="16" spans="1:7" x14ac:dyDescent="0.25">
      <c r="A16" s="126" t="s">
        <v>500</v>
      </c>
      <c r="B16" s="58"/>
      <c r="C16" s="58"/>
      <c r="D16" s="58"/>
      <c r="E16" s="58"/>
      <c r="F16" s="58"/>
    </row>
    <row r="17" spans="1:6" ht="14.25" x14ac:dyDescent="0.45">
      <c r="A17" s="126" t="s">
        <v>501</v>
      </c>
      <c r="B17" s="58"/>
      <c r="C17" s="58"/>
      <c r="D17" s="58"/>
      <c r="E17" s="58"/>
      <c r="F17" s="58"/>
    </row>
    <row r="18" spans="1:6" ht="14.25" x14ac:dyDescent="0.45">
      <c r="A18" s="124" t="s">
        <v>503</v>
      </c>
      <c r="B18" s="132"/>
      <c r="C18" s="58"/>
      <c r="D18" s="58"/>
      <c r="E18" s="58"/>
      <c r="F18" s="58"/>
    </row>
    <row r="19" spans="1:6" x14ac:dyDescent="0.25">
      <c r="A19" s="124" t="s">
        <v>504</v>
      </c>
      <c r="B19" s="58"/>
      <c r="C19" s="58"/>
      <c r="D19" s="58"/>
      <c r="E19" s="58"/>
      <c r="F19" s="58"/>
    </row>
    <row r="20" spans="1:6" x14ac:dyDescent="0.25">
      <c r="A20" s="124" t="s">
        <v>505</v>
      </c>
      <c r="B20" s="133"/>
      <c r="C20" s="133"/>
      <c r="D20" s="133"/>
      <c r="E20" s="133"/>
      <c r="F20" s="133"/>
    </row>
    <row r="21" spans="1:6" x14ac:dyDescent="0.25">
      <c r="A21" s="124" t="s">
        <v>506</v>
      </c>
      <c r="B21" s="133"/>
      <c r="C21" s="133"/>
      <c r="D21" s="133"/>
      <c r="E21" s="133"/>
      <c r="F21" s="133"/>
    </row>
    <row r="22" spans="1:6" ht="14.25" x14ac:dyDescent="0.45">
      <c r="A22" s="62" t="s">
        <v>507</v>
      </c>
      <c r="B22" s="133"/>
      <c r="C22" s="133"/>
      <c r="D22" s="133"/>
      <c r="E22" s="133"/>
      <c r="F22" s="133"/>
    </row>
    <row r="23" spans="1:6" ht="14.25" x14ac:dyDescent="0.45">
      <c r="A23" s="62" t="s">
        <v>508</v>
      </c>
      <c r="B23" s="133"/>
      <c r="C23" s="133"/>
      <c r="D23" s="133"/>
      <c r="E23" s="133"/>
      <c r="F23" s="133"/>
    </row>
    <row r="24" spans="1:6" x14ac:dyDescent="0.25">
      <c r="A24" s="62" t="s">
        <v>509</v>
      </c>
      <c r="B24" s="134"/>
      <c r="C24" s="58"/>
      <c r="D24" s="58"/>
      <c r="E24" s="58"/>
      <c r="F24" s="58"/>
    </row>
    <row r="25" spans="1:6" ht="14.25" x14ac:dyDescent="0.45">
      <c r="A25" s="124" t="s">
        <v>510</v>
      </c>
      <c r="B25" s="134"/>
      <c r="C25" s="58"/>
      <c r="D25" s="58"/>
      <c r="E25" s="58"/>
      <c r="F25" s="58"/>
    </row>
    <row r="26" spans="1:6" ht="14.25" x14ac:dyDescent="0.45">
      <c r="A26" s="125"/>
      <c r="B26" s="52"/>
      <c r="C26" s="52"/>
      <c r="D26" s="52"/>
      <c r="E26" s="52"/>
      <c r="F26" s="52"/>
    </row>
    <row r="27" spans="1:6" ht="14.25" x14ac:dyDescent="0.45">
      <c r="A27" s="123" t="s">
        <v>511</v>
      </c>
      <c r="B27" s="52"/>
      <c r="C27" s="52"/>
      <c r="D27" s="52"/>
      <c r="E27" s="52"/>
      <c r="F27" s="52"/>
    </row>
    <row r="28" spans="1:6" ht="14.25" x14ac:dyDescent="0.45">
      <c r="A28" s="124" t="s">
        <v>512</v>
      </c>
      <c r="B28" s="58"/>
      <c r="C28" s="58"/>
      <c r="D28" s="58"/>
      <c r="E28" s="58"/>
      <c r="F28" s="58"/>
    </row>
    <row r="29" spans="1:6" x14ac:dyDescent="0.25">
      <c r="A29" s="125"/>
      <c r="B29" s="52"/>
      <c r="C29" s="52"/>
      <c r="D29" s="52"/>
      <c r="E29" s="52"/>
      <c r="F29" s="52"/>
    </row>
    <row r="30" spans="1:6" x14ac:dyDescent="0.25">
      <c r="A30" s="123" t="s">
        <v>513</v>
      </c>
      <c r="B30" s="52"/>
      <c r="C30" s="52"/>
      <c r="D30" s="52"/>
      <c r="E30" s="52"/>
      <c r="F30" s="52"/>
    </row>
    <row r="31" spans="1:6" x14ac:dyDescent="0.25">
      <c r="A31" s="124" t="s">
        <v>498</v>
      </c>
      <c r="B31" s="58"/>
      <c r="C31" s="58"/>
      <c r="D31" s="58"/>
      <c r="E31" s="58"/>
      <c r="F31" s="58"/>
    </row>
    <row r="32" spans="1:6" x14ac:dyDescent="0.25">
      <c r="A32" s="124" t="s">
        <v>502</v>
      </c>
      <c r="B32" s="58"/>
      <c r="C32" s="58"/>
      <c r="D32" s="58"/>
      <c r="E32" s="58"/>
      <c r="F32" s="58"/>
    </row>
    <row r="33" spans="1:6" x14ac:dyDescent="0.25">
      <c r="A33" s="124" t="s">
        <v>514</v>
      </c>
      <c r="B33" s="58"/>
      <c r="C33" s="58"/>
      <c r="D33" s="58"/>
      <c r="E33" s="58"/>
      <c r="F33" s="58"/>
    </row>
    <row r="34" spans="1:6" x14ac:dyDescent="0.25">
      <c r="A34" s="125"/>
      <c r="B34" s="52"/>
      <c r="C34" s="52"/>
      <c r="D34" s="52"/>
      <c r="E34" s="52"/>
      <c r="F34" s="52"/>
    </row>
    <row r="35" spans="1:6" x14ac:dyDescent="0.25">
      <c r="A35" s="123" t="s">
        <v>515</v>
      </c>
      <c r="B35" s="52"/>
      <c r="C35" s="52"/>
      <c r="D35" s="52"/>
      <c r="E35" s="52"/>
      <c r="F35" s="52"/>
    </row>
    <row r="36" spans="1:6" x14ac:dyDescent="0.25">
      <c r="A36" s="124" t="s">
        <v>516</v>
      </c>
      <c r="B36" s="58"/>
      <c r="C36" s="58"/>
      <c r="D36" s="58"/>
      <c r="E36" s="58"/>
      <c r="F36" s="58"/>
    </row>
    <row r="37" spans="1:6" x14ac:dyDescent="0.25">
      <c r="A37" s="124" t="s">
        <v>517</v>
      </c>
      <c r="B37" s="58"/>
      <c r="C37" s="58"/>
      <c r="D37" s="58"/>
      <c r="E37" s="58"/>
      <c r="F37" s="58"/>
    </row>
    <row r="38" spans="1:6" x14ac:dyDescent="0.25">
      <c r="A38" s="124" t="s">
        <v>518</v>
      </c>
      <c r="B38" s="134"/>
      <c r="C38" s="58"/>
      <c r="D38" s="58"/>
      <c r="E38" s="58"/>
      <c r="F38" s="58"/>
    </row>
    <row r="39" spans="1:6" x14ac:dyDescent="0.25">
      <c r="A39" s="125"/>
      <c r="B39" s="52"/>
      <c r="C39" s="52"/>
      <c r="D39" s="52"/>
      <c r="E39" s="52"/>
      <c r="F39" s="52"/>
    </row>
    <row r="40" spans="1:6" x14ac:dyDescent="0.25">
      <c r="A40" s="123" t="s">
        <v>519</v>
      </c>
      <c r="B40" s="58"/>
      <c r="C40" s="58"/>
      <c r="D40" s="58"/>
      <c r="E40" s="58"/>
      <c r="F40" s="58"/>
    </row>
    <row r="41" spans="1:6" x14ac:dyDescent="0.25">
      <c r="A41" s="125"/>
      <c r="B41" s="52"/>
      <c r="C41" s="52"/>
      <c r="D41" s="52"/>
      <c r="E41" s="52"/>
      <c r="F41" s="52"/>
    </row>
    <row r="42" spans="1:6" x14ac:dyDescent="0.25">
      <c r="A42" s="123" t="s">
        <v>520</v>
      </c>
      <c r="B42" s="52"/>
      <c r="C42" s="52"/>
      <c r="D42" s="52"/>
      <c r="E42" s="52"/>
      <c r="F42" s="52"/>
    </row>
    <row r="43" spans="1:6" x14ac:dyDescent="0.25">
      <c r="A43" s="124" t="s">
        <v>521</v>
      </c>
      <c r="B43" s="58"/>
      <c r="C43" s="58"/>
      <c r="D43" s="58"/>
      <c r="E43" s="58"/>
      <c r="F43" s="58"/>
    </row>
    <row r="44" spans="1:6" x14ac:dyDescent="0.25">
      <c r="A44" s="124" t="s">
        <v>522</v>
      </c>
      <c r="B44" s="58"/>
      <c r="C44" s="58"/>
      <c r="D44" s="58"/>
      <c r="E44" s="58"/>
      <c r="F44" s="58"/>
    </row>
    <row r="45" spans="1:6" x14ac:dyDescent="0.25">
      <c r="A45" s="124" t="s">
        <v>523</v>
      </c>
      <c r="B45" s="58"/>
      <c r="C45" s="58"/>
      <c r="D45" s="58"/>
      <c r="E45" s="58"/>
      <c r="F45" s="58"/>
    </row>
    <row r="46" spans="1:6" x14ac:dyDescent="0.25">
      <c r="A46" s="125"/>
      <c r="B46" s="52"/>
      <c r="C46" s="52"/>
      <c r="D46" s="52"/>
      <c r="E46" s="52"/>
      <c r="F46" s="52"/>
    </row>
    <row r="47" spans="1:6" ht="30" x14ac:dyDescent="0.25">
      <c r="A47" s="123" t="s">
        <v>524</v>
      </c>
      <c r="B47" s="52"/>
      <c r="C47" s="52"/>
      <c r="D47" s="52"/>
      <c r="E47" s="52"/>
      <c r="F47" s="52"/>
    </row>
    <row r="48" spans="1:6" x14ac:dyDescent="0.25">
      <c r="A48" s="62" t="s">
        <v>522</v>
      </c>
      <c r="B48" s="133"/>
      <c r="C48" s="133"/>
      <c r="D48" s="133"/>
      <c r="E48" s="133"/>
      <c r="F48" s="133"/>
    </row>
    <row r="49" spans="1:6" x14ac:dyDescent="0.25">
      <c r="A49" s="62" t="s">
        <v>523</v>
      </c>
      <c r="B49" s="133"/>
      <c r="C49" s="133"/>
      <c r="D49" s="133"/>
      <c r="E49" s="133"/>
      <c r="F49" s="133"/>
    </row>
    <row r="50" spans="1:6" x14ac:dyDescent="0.25">
      <c r="A50" s="125"/>
      <c r="B50" s="52"/>
      <c r="C50" s="52"/>
      <c r="D50" s="52"/>
      <c r="E50" s="52"/>
      <c r="F50" s="52"/>
    </row>
    <row r="51" spans="1:6" x14ac:dyDescent="0.25">
      <c r="A51" s="123" t="s">
        <v>525</v>
      </c>
      <c r="B51" s="52"/>
      <c r="C51" s="52"/>
      <c r="D51" s="52"/>
      <c r="E51" s="52"/>
      <c r="F51" s="52"/>
    </row>
    <row r="52" spans="1:6" x14ac:dyDescent="0.25">
      <c r="A52" s="124" t="s">
        <v>522</v>
      </c>
      <c r="B52" s="58"/>
      <c r="C52" s="58"/>
      <c r="D52" s="58"/>
      <c r="E52" s="58"/>
      <c r="F52" s="58"/>
    </row>
    <row r="53" spans="1:6" x14ac:dyDescent="0.25">
      <c r="A53" s="124" t="s">
        <v>523</v>
      </c>
      <c r="B53" s="58"/>
      <c r="C53" s="58"/>
      <c r="D53" s="58"/>
      <c r="E53" s="58"/>
      <c r="F53" s="58"/>
    </row>
    <row r="54" spans="1:6" x14ac:dyDescent="0.25">
      <c r="A54" s="124" t="s">
        <v>526</v>
      </c>
      <c r="B54" s="58"/>
      <c r="C54" s="58"/>
      <c r="D54" s="58"/>
      <c r="E54" s="58"/>
      <c r="F54" s="58"/>
    </row>
    <row r="55" spans="1:6" x14ac:dyDescent="0.25">
      <c r="A55" s="125"/>
      <c r="B55" s="52"/>
      <c r="C55" s="52"/>
      <c r="D55" s="52"/>
      <c r="E55" s="52"/>
      <c r="F55" s="52"/>
    </row>
    <row r="56" spans="1:6" x14ac:dyDescent="0.25">
      <c r="A56" s="123" t="s">
        <v>527</v>
      </c>
      <c r="B56" s="52"/>
      <c r="C56" s="52"/>
      <c r="D56" s="52"/>
      <c r="E56" s="52"/>
      <c r="F56" s="52"/>
    </row>
    <row r="57" spans="1:6" x14ac:dyDescent="0.25">
      <c r="A57" s="124" t="s">
        <v>522</v>
      </c>
      <c r="B57" s="58"/>
      <c r="C57" s="58"/>
      <c r="D57" s="58"/>
      <c r="E57" s="58"/>
      <c r="F57" s="58"/>
    </row>
    <row r="58" spans="1:6" x14ac:dyDescent="0.25">
      <c r="A58" s="124" t="s">
        <v>523</v>
      </c>
      <c r="B58" s="58"/>
      <c r="C58" s="58"/>
      <c r="D58" s="58"/>
      <c r="E58" s="58"/>
      <c r="F58" s="58"/>
    </row>
    <row r="59" spans="1:6" x14ac:dyDescent="0.25">
      <c r="A59" s="125"/>
      <c r="B59" s="52"/>
      <c r="C59" s="52"/>
      <c r="D59" s="52"/>
      <c r="E59" s="52"/>
      <c r="F59" s="52"/>
    </row>
    <row r="60" spans="1:6" x14ac:dyDescent="0.25">
      <c r="A60" s="123" t="s">
        <v>528</v>
      </c>
      <c r="B60" s="52"/>
      <c r="C60" s="52"/>
      <c r="D60" s="52"/>
      <c r="E60" s="52"/>
      <c r="F60" s="52"/>
    </row>
    <row r="61" spans="1:6" x14ac:dyDescent="0.25">
      <c r="A61" s="124" t="s">
        <v>529</v>
      </c>
      <c r="B61" s="58"/>
      <c r="C61" s="58"/>
      <c r="D61" s="58"/>
      <c r="E61" s="58"/>
      <c r="F61" s="58"/>
    </row>
    <row r="62" spans="1:6" x14ac:dyDescent="0.25">
      <c r="A62" s="124" t="s">
        <v>530</v>
      </c>
      <c r="B62" s="134"/>
      <c r="C62" s="58"/>
      <c r="D62" s="58"/>
      <c r="E62" s="58"/>
      <c r="F62" s="58"/>
    </row>
    <row r="63" spans="1:6" x14ac:dyDescent="0.25">
      <c r="A63" s="125"/>
      <c r="B63" s="52"/>
      <c r="C63" s="52"/>
      <c r="D63" s="52"/>
      <c r="E63" s="52"/>
      <c r="F63" s="52"/>
    </row>
    <row r="64" spans="1:6" x14ac:dyDescent="0.25">
      <c r="A64" s="123" t="s">
        <v>531</v>
      </c>
      <c r="B64" s="52"/>
      <c r="C64" s="52"/>
      <c r="D64" s="52"/>
      <c r="E64" s="52"/>
      <c r="F64" s="52"/>
    </row>
    <row r="65" spans="1:6" x14ac:dyDescent="0.25">
      <c r="A65" s="124" t="s">
        <v>532</v>
      </c>
      <c r="B65" s="58"/>
      <c r="C65" s="58"/>
      <c r="D65" s="58"/>
      <c r="E65" s="58"/>
      <c r="F65" s="58"/>
    </row>
    <row r="66" spans="1:6" x14ac:dyDescent="0.25">
      <c r="A66" s="124" t="s">
        <v>533</v>
      </c>
      <c r="B66" s="58"/>
      <c r="C66" s="58"/>
      <c r="D66" s="58"/>
      <c r="E66" s="58"/>
      <c r="F66" s="58"/>
    </row>
    <row r="67" spans="1:6" x14ac:dyDescent="0.25">
      <c r="A67" s="129"/>
      <c r="B67" s="63"/>
      <c r="C67" s="63"/>
      <c r="D67" s="63"/>
      <c r="E67" s="63"/>
      <c r="F67" s="63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5" t="s">
        <v>3271</v>
      </c>
      <c r="Q1" s="35" t="s">
        <v>3272</v>
      </c>
      <c r="R1" s="35" t="s">
        <v>3273</v>
      </c>
      <c r="S1" s="35" t="s">
        <v>3274</v>
      </c>
      <c r="T1" s="35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17283"/>
  <sheetViews>
    <sheetView showGridLines="0" zoomScale="90" zoomScaleNormal="90" workbookViewId="0">
      <selection activeCell="B18" sqref="B18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80" customFormat="1" ht="37.5" customHeight="1" x14ac:dyDescent="0.25">
      <c r="A1" s="156" t="s">
        <v>537</v>
      </c>
      <c r="B1" s="156"/>
      <c r="C1" s="156"/>
      <c r="D1" s="156"/>
      <c r="E1" s="156"/>
      <c r="F1" s="156"/>
    </row>
    <row r="2" spans="1:6" ht="14.25" x14ac:dyDescent="0.45">
      <c r="A2" s="144" t="str">
        <f>ENTE_PUBLICO_A</f>
        <v>MUNICIPIO DE SILAO DE LA VICTORIA, Gobierno del Estado de Guanajuato (a)</v>
      </c>
      <c r="B2" s="145"/>
      <c r="C2" s="145"/>
      <c r="D2" s="145"/>
      <c r="E2" s="145"/>
      <c r="F2" s="146"/>
    </row>
    <row r="3" spans="1:6" x14ac:dyDescent="0.25">
      <c r="A3" s="147" t="s">
        <v>117</v>
      </c>
      <c r="B3" s="148"/>
      <c r="C3" s="148"/>
      <c r="D3" s="148"/>
      <c r="E3" s="148"/>
      <c r="F3" s="149"/>
    </row>
    <row r="4" spans="1:6" ht="14.25" x14ac:dyDescent="0.45">
      <c r="A4" s="150" t="str">
        <f>PERIODO_INFORME</f>
        <v>Al 31 de diciembre de 2019 y al 31 de diciembre de 2020 (b)</v>
      </c>
      <c r="B4" s="151"/>
      <c r="C4" s="151"/>
      <c r="D4" s="151"/>
      <c r="E4" s="151"/>
      <c r="F4" s="152"/>
    </row>
    <row r="5" spans="1:6" ht="14.25" x14ac:dyDescent="0.45">
      <c r="A5" s="153" t="s">
        <v>118</v>
      </c>
      <c r="B5" s="154"/>
      <c r="C5" s="154"/>
      <c r="D5" s="154"/>
      <c r="E5" s="154"/>
      <c r="F5" s="155"/>
    </row>
    <row r="6" spans="1:6" s="3" customFormat="1" ht="28.5" x14ac:dyDescent="0.45">
      <c r="A6" s="120" t="s">
        <v>3276</v>
      </c>
      <c r="B6" s="121" t="str">
        <f>ANIO</f>
        <v>2020 (d)</v>
      </c>
      <c r="C6" s="118" t="str">
        <f>ULTIMO</f>
        <v>31 de diciembre de 2019 (e)</v>
      </c>
      <c r="D6" s="122" t="s">
        <v>0</v>
      </c>
      <c r="E6" s="121" t="str">
        <f>ANIO</f>
        <v>2020 (d)</v>
      </c>
      <c r="F6" s="118" t="str">
        <f>ULTIMO</f>
        <v>31 de diciembre de 2019 (e)</v>
      </c>
    </row>
    <row r="7" spans="1:6" ht="14.25" x14ac:dyDescent="0.45">
      <c r="A7" s="84" t="s">
        <v>1</v>
      </c>
      <c r="B7" s="77"/>
      <c r="C7" s="77"/>
      <c r="D7" s="88" t="s">
        <v>52</v>
      </c>
      <c r="E7" s="77"/>
      <c r="F7" s="77"/>
    </row>
    <row r="8" spans="1:6" ht="14.25" x14ac:dyDescent="0.45">
      <c r="A8" s="37" t="s">
        <v>2</v>
      </c>
      <c r="B8" s="52"/>
      <c r="C8" s="52"/>
      <c r="D8" s="89" t="s">
        <v>53</v>
      </c>
      <c r="E8" s="52"/>
      <c r="F8" s="52"/>
    </row>
    <row r="9" spans="1:6" x14ac:dyDescent="0.25">
      <c r="A9" s="85" t="s">
        <v>3</v>
      </c>
      <c r="B9" s="136">
        <f>SUM(B10:B16)</f>
        <v>20432998.399999999</v>
      </c>
      <c r="C9" s="136">
        <f>SUM(C10:C16)</f>
        <v>31175535.160000004</v>
      </c>
      <c r="D9" s="90" t="s">
        <v>54</v>
      </c>
      <c r="E9" s="136">
        <f>SUM(E10:E18)</f>
        <v>75814407.020000011</v>
      </c>
      <c r="F9" s="136">
        <f>SUM(F10:F18)</f>
        <v>50679564.039999992</v>
      </c>
    </row>
    <row r="10" spans="1:6" x14ac:dyDescent="0.25">
      <c r="A10" s="86" t="s">
        <v>4</v>
      </c>
      <c r="B10" s="137">
        <v>0</v>
      </c>
      <c r="C10" s="137">
        <v>0</v>
      </c>
      <c r="D10" s="91" t="s">
        <v>55</v>
      </c>
      <c r="E10" s="137">
        <v>7829449.0300000003</v>
      </c>
      <c r="F10" s="137">
        <v>46474.45</v>
      </c>
    </row>
    <row r="11" spans="1:6" x14ac:dyDescent="0.25">
      <c r="A11" s="86" t="s">
        <v>5</v>
      </c>
      <c r="B11" s="137">
        <v>14250768.01</v>
      </c>
      <c r="C11" s="137">
        <v>9670699.4199999999</v>
      </c>
      <c r="D11" s="91" t="s">
        <v>56</v>
      </c>
      <c r="E11" s="137">
        <v>51774714.5</v>
      </c>
      <c r="F11" s="137">
        <v>32949000.43</v>
      </c>
    </row>
    <row r="12" spans="1:6" x14ac:dyDescent="0.25">
      <c r="A12" s="86" t="s">
        <v>6</v>
      </c>
      <c r="B12" s="137">
        <v>0</v>
      </c>
      <c r="C12" s="137">
        <v>0</v>
      </c>
      <c r="D12" s="91" t="s">
        <v>57</v>
      </c>
      <c r="E12" s="137">
        <v>8152699.6900000004</v>
      </c>
      <c r="F12" s="137">
        <v>11030513.34</v>
      </c>
    </row>
    <row r="13" spans="1:6" ht="14.25" customHeight="1" x14ac:dyDescent="0.25">
      <c r="A13" s="86" t="s">
        <v>7</v>
      </c>
      <c r="B13" s="137">
        <v>465.82</v>
      </c>
      <c r="C13" s="137">
        <v>20675771.780000001</v>
      </c>
      <c r="D13" s="91" t="s">
        <v>58</v>
      </c>
      <c r="E13" s="137"/>
      <c r="F13" s="137"/>
    </row>
    <row r="14" spans="1:6" x14ac:dyDescent="0.25">
      <c r="A14" s="86" t="s">
        <v>8</v>
      </c>
      <c r="B14" s="137">
        <v>6181764.5700000003</v>
      </c>
      <c r="C14" s="137">
        <v>829063.96</v>
      </c>
      <c r="D14" s="91" t="s">
        <v>59</v>
      </c>
      <c r="E14" s="137">
        <v>2722136.84</v>
      </c>
      <c r="F14" s="137">
        <v>780825.47</v>
      </c>
    </row>
    <row r="15" spans="1:6" x14ac:dyDescent="0.25">
      <c r="A15" s="86" t="s">
        <v>9</v>
      </c>
      <c r="B15" s="137">
        <v>0</v>
      </c>
      <c r="C15" s="137">
        <v>0</v>
      </c>
      <c r="D15" s="91" t="s">
        <v>60</v>
      </c>
      <c r="E15" s="137"/>
      <c r="F15" s="137"/>
    </row>
    <row r="16" spans="1:6" ht="14.25" customHeight="1" x14ac:dyDescent="0.25">
      <c r="A16" s="86" t="s">
        <v>10</v>
      </c>
      <c r="B16" s="137">
        <v>0</v>
      </c>
      <c r="C16" s="137">
        <v>0</v>
      </c>
      <c r="D16" s="91" t="s">
        <v>61</v>
      </c>
      <c r="E16" s="137">
        <v>457703.92</v>
      </c>
      <c r="F16" s="137">
        <v>438193.94</v>
      </c>
    </row>
    <row r="17" spans="1:6" x14ac:dyDescent="0.25">
      <c r="A17" s="85" t="s">
        <v>11</v>
      </c>
      <c r="B17" s="136">
        <f>SUM(B18:B24)</f>
        <v>2778845.6100000003</v>
      </c>
      <c r="C17" s="136">
        <f>SUM(C18:C24)</f>
        <v>725259.4</v>
      </c>
      <c r="D17" s="91" t="s">
        <v>62</v>
      </c>
      <c r="E17" s="137">
        <v>0</v>
      </c>
      <c r="F17" s="137">
        <v>0</v>
      </c>
    </row>
    <row r="18" spans="1:6" ht="14.25" customHeight="1" x14ac:dyDescent="0.25">
      <c r="A18" s="87" t="s">
        <v>12</v>
      </c>
      <c r="B18" s="137">
        <v>0</v>
      </c>
      <c r="C18" s="137">
        <v>0</v>
      </c>
      <c r="D18" s="91" t="s">
        <v>63</v>
      </c>
      <c r="E18" s="137">
        <v>4877703.04</v>
      </c>
      <c r="F18" s="137">
        <v>5434556.4100000001</v>
      </c>
    </row>
    <row r="19" spans="1:6" ht="14.25" customHeight="1" x14ac:dyDescent="0.25">
      <c r="A19" s="87" t="s">
        <v>13</v>
      </c>
      <c r="B19" s="137">
        <v>400000</v>
      </c>
      <c r="C19" s="137">
        <v>2448.08</v>
      </c>
      <c r="D19" s="90" t="s">
        <v>64</v>
      </c>
      <c r="E19" s="136">
        <f>SUM(E20:E22)</f>
        <v>0</v>
      </c>
      <c r="F19" s="136">
        <f>SUM(F20:F22)</f>
        <v>0</v>
      </c>
    </row>
    <row r="20" spans="1:6" ht="14.25" customHeight="1" x14ac:dyDescent="0.25">
      <c r="A20" s="87" t="s">
        <v>14</v>
      </c>
      <c r="B20" s="137">
        <v>43723.51</v>
      </c>
      <c r="C20" s="137">
        <v>119272.62</v>
      </c>
      <c r="D20" s="91" t="s">
        <v>65</v>
      </c>
      <c r="E20" s="137">
        <v>0</v>
      </c>
      <c r="F20" s="137">
        <v>0</v>
      </c>
    </row>
    <row r="21" spans="1:6" x14ac:dyDescent="0.25">
      <c r="A21" s="87" t="s">
        <v>15</v>
      </c>
      <c r="B21" s="137">
        <v>0</v>
      </c>
      <c r="C21" s="137">
        <v>0</v>
      </c>
      <c r="D21" s="91" t="s">
        <v>66</v>
      </c>
      <c r="E21" s="137">
        <v>0</v>
      </c>
      <c r="F21" s="137">
        <v>0</v>
      </c>
    </row>
    <row r="22" spans="1:6" x14ac:dyDescent="0.25">
      <c r="A22" s="87" t="s">
        <v>16</v>
      </c>
      <c r="B22" s="137">
        <v>141006.5</v>
      </c>
      <c r="C22" s="137">
        <v>107877.06</v>
      </c>
      <c r="D22" s="91" t="s">
        <v>67</v>
      </c>
      <c r="E22" s="137">
        <v>0</v>
      </c>
      <c r="F22" s="137">
        <v>0</v>
      </c>
    </row>
    <row r="23" spans="1:6" x14ac:dyDescent="0.25">
      <c r="A23" s="87" t="s">
        <v>17</v>
      </c>
      <c r="B23" s="137"/>
      <c r="C23" s="137"/>
      <c r="D23" s="90" t="s">
        <v>68</v>
      </c>
      <c r="E23" s="136">
        <f>E24+E25</f>
        <v>0</v>
      </c>
      <c r="F23" s="136">
        <f>F24+F25</f>
        <v>0</v>
      </c>
    </row>
    <row r="24" spans="1:6" x14ac:dyDescent="0.25">
      <c r="A24" s="87" t="s">
        <v>18</v>
      </c>
      <c r="B24" s="137">
        <v>2194115.6</v>
      </c>
      <c r="C24" s="137">
        <v>495661.64</v>
      </c>
      <c r="D24" s="91" t="s">
        <v>69</v>
      </c>
      <c r="E24" s="137">
        <v>0</v>
      </c>
      <c r="F24" s="137">
        <v>0</v>
      </c>
    </row>
    <row r="25" spans="1:6" x14ac:dyDescent="0.25">
      <c r="A25" s="85" t="s">
        <v>19</v>
      </c>
      <c r="B25" s="136">
        <f>SUM(B26:B30)</f>
        <v>15734990.02</v>
      </c>
      <c r="C25" s="136">
        <f>SUM(C26:C30)</f>
        <v>20402984.520000003</v>
      </c>
      <c r="D25" s="91" t="s">
        <v>70</v>
      </c>
      <c r="E25" s="137">
        <v>0</v>
      </c>
      <c r="F25" s="137">
        <v>0</v>
      </c>
    </row>
    <row r="26" spans="1:6" x14ac:dyDescent="0.25">
      <c r="A26" s="87" t="s">
        <v>20</v>
      </c>
      <c r="B26" s="137">
        <v>2074136.01</v>
      </c>
      <c r="C26" s="137">
        <v>2102898.5099999998</v>
      </c>
      <c r="D26" s="90" t="s">
        <v>71</v>
      </c>
      <c r="E26" s="136">
        <v>0</v>
      </c>
      <c r="F26" s="136">
        <v>0</v>
      </c>
    </row>
    <row r="27" spans="1:6" x14ac:dyDescent="0.25">
      <c r="A27" s="87" t="s">
        <v>21</v>
      </c>
      <c r="B27" s="137">
        <v>0</v>
      </c>
      <c r="C27" s="137">
        <v>0</v>
      </c>
      <c r="D27" s="90" t="s">
        <v>72</v>
      </c>
      <c r="E27" s="136">
        <f>SUM(E28:E30)</f>
        <v>32000000</v>
      </c>
      <c r="F27" s="136">
        <f>SUM(F28:F30)</f>
        <v>29000000</v>
      </c>
    </row>
    <row r="28" spans="1:6" x14ac:dyDescent="0.25">
      <c r="A28" s="87" t="s">
        <v>22</v>
      </c>
      <c r="B28" s="137">
        <v>0</v>
      </c>
      <c r="C28" s="137">
        <v>0</v>
      </c>
      <c r="D28" s="91" t="s">
        <v>73</v>
      </c>
      <c r="E28" s="137">
        <v>0</v>
      </c>
      <c r="F28" s="137">
        <v>0</v>
      </c>
    </row>
    <row r="29" spans="1:6" x14ac:dyDescent="0.25">
      <c r="A29" s="87" t="s">
        <v>23</v>
      </c>
      <c r="B29" s="137">
        <v>13660854.01</v>
      </c>
      <c r="C29" s="137">
        <v>18300086.010000002</v>
      </c>
      <c r="D29" s="91" t="s">
        <v>74</v>
      </c>
      <c r="E29" s="137">
        <v>0</v>
      </c>
      <c r="F29" s="137">
        <v>0</v>
      </c>
    </row>
    <row r="30" spans="1:6" ht="14.25" customHeight="1" x14ac:dyDescent="0.25">
      <c r="A30" s="87" t="s">
        <v>24</v>
      </c>
      <c r="B30" s="137">
        <v>0</v>
      </c>
      <c r="C30" s="137">
        <v>0</v>
      </c>
      <c r="D30" s="91" t="s">
        <v>75</v>
      </c>
      <c r="E30" s="137">
        <v>32000000</v>
      </c>
      <c r="F30" s="137">
        <v>29000000</v>
      </c>
    </row>
    <row r="31" spans="1:6" x14ac:dyDescent="0.25">
      <c r="A31" s="85" t="s">
        <v>25</v>
      </c>
      <c r="B31" s="136">
        <f>SUM(B32:B36)</f>
        <v>0</v>
      </c>
      <c r="C31" s="136">
        <f>SUM(C32:C36)</f>
        <v>0</v>
      </c>
      <c r="D31" s="90" t="s">
        <v>76</v>
      </c>
      <c r="E31" s="136">
        <f>SUM(E32:E37)</f>
        <v>0</v>
      </c>
      <c r="F31" s="136">
        <f>SUM(F32:F37)</f>
        <v>0</v>
      </c>
    </row>
    <row r="32" spans="1:6" x14ac:dyDescent="0.25">
      <c r="A32" s="87" t="s">
        <v>26</v>
      </c>
      <c r="B32" s="137">
        <v>0</v>
      </c>
      <c r="C32" s="137">
        <v>0</v>
      </c>
      <c r="D32" s="91" t="s">
        <v>77</v>
      </c>
      <c r="E32" s="137">
        <v>0</v>
      </c>
      <c r="F32" s="137">
        <v>0</v>
      </c>
    </row>
    <row r="33" spans="1:6" x14ac:dyDescent="0.25">
      <c r="A33" s="87" t="s">
        <v>27</v>
      </c>
      <c r="B33" s="137">
        <v>0</v>
      </c>
      <c r="C33" s="137">
        <v>0</v>
      </c>
      <c r="D33" s="91" t="s">
        <v>78</v>
      </c>
      <c r="E33" s="137">
        <v>0</v>
      </c>
      <c r="F33" s="137">
        <v>0</v>
      </c>
    </row>
    <row r="34" spans="1:6" x14ac:dyDescent="0.25">
      <c r="A34" s="87" t="s">
        <v>28</v>
      </c>
      <c r="B34" s="137">
        <v>0</v>
      </c>
      <c r="C34" s="137">
        <v>0</v>
      </c>
      <c r="D34" s="91" t="s">
        <v>79</v>
      </c>
      <c r="E34" s="137">
        <v>0</v>
      </c>
      <c r="F34" s="137">
        <v>0</v>
      </c>
    </row>
    <row r="35" spans="1:6" x14ac:dyDescent="0.25">
      <c r="A35" s="87" t="s">
        <v>29</v>
      </c>
      <c r="B35" s="137">
        <v>0</v>
      </c>
      <c r="C35" s="137">
        <v>0</v>
      </c>
      <c r="D35" s="91" t="s">
        <v>80</v>
      </c>
      <c r="E35" s="137">
        <v>0</v>
      </c>
      <c r="F35" s="137">
        <v>0</v>
      </c>
    </row>
    <row r="36" spans="1:6" x14ac:dyDescent="0.25">
      <c r="A36" s="87" t="s">
        <v>30</v>
      </c>
      <c r="B36" s="137">
        <v>0</v>
      </c>
      <c r="C36" s="137">
        <v>0</v>
      </c>
      <c r="D36" s="91" t="s">
        <v>81</v>
      </c>
      <c r="E36" s="137">
        <v>0</v>
      </c>
      <c r="F36" s="137">
        <v>0</v>
      </c>
    </row>
    <row r="37" spans="1:6" x14ac:dyDescent="0.25">
      <c r="A37" s="85" t="s">
        <v>31</v>
      </c>
      <c r="B37" s="136">
        <v>0</v>
      </c>
      <c r="C37" s="136">
        <v>0</v>
      </c>
      <c r="D37" s="91" t="s">
        <v>82</v>
      </c>
      <c r="E37" s="137">
        <v>0</v>
      </c>
      <c r="F37" s="137">
        <v>0</v>
      </c>
    </row>
    <row r="38" spans="1:6" x14ac:dyDescent="0.25">
      <c r="A38" s="85" t="s">
        <v>119</v>
      </c>
      <c r="B38" s="136">
        <f>SUM(B39:B40)</f>
        <v>0</v>
      </c>
      <c r="C38" s="136">
        <f>SUM(C39:C40)</f>
        <v>0</v>
      </c>
      <c r="D38" s="90" t="s">
        <v>83</v>
      </c>
      <c r="E38" s="136">
        <f>SUM(E39:E41)</f>
        <v>0</v>
      </c>
      <c r="F38" s="136">
        <f>SUM(F39:F41)</f>
        <v>0</v>
      </c>
    </row>
    <row r="39" spans="1:6" x14ac:dyDescent="0.25">
      <c r="A39" s="87" t="s">
        <v>32</v>
      </c>
      <c r="B39" s="137">
        <v>0</v>
      </c>
      <c r="C39" s="137">
        <v>0</v>
      </c>
      <c r="D39" s="91" t="s">
        <v>84</v>
      </c>
      <c r="E39" s="137">
        <v>0</v>
      </c>
      <c r="F39" s="137">
        <v>0</v>
      </c>
    </row>
    <row r="40" spans="1:6" x14ac:dyDescent="0.25">
      <c r="A40" s="87" t="s">
        <v>33</v>
      </c>
      <c r="B40" s="137">
        <v>0</v>
      </c>
      <c r="C40" s="137">
        <v>0</v>
      </c>
      <c r="D40" s="91" t="s">
        <v>85</v>
      </c>
      <c r="E40" s="137">
        <v>0</v>
      </c>
      <c r="F40" s="137">
        <v>0</v>
      </c>
    </row>
    <row r="41" spans="1:6" x14ac:dyDescent="0.25">
      <c r="A41" s="85" t="s">
        <v>34</v>
      </c>
      <c r="B41" s="136">
        <f>SUM(B42:B45)</f>
        <v>472797.83</v>
      </c>
      <c r="C41" s="136">
        <f>SUM(C42:C45)</f>
        <v>500267.83</v>
      </c>
      <c r="D41" s="91" t="s">
        <v>86</v>
      </c>
      <c r="E41" s="137">
        <v>0</v>
      </c>
      <c r="F41" s="137">
        <v>0</v>
      </c>
    </row>
    <row r="42" spans="1:6" x14ac:dyDescent="0.25">
      <c r="A42" s="87" t="s">
        <v>35</v>
      </c>
      <c r="B42" s="137">
        <v>0</v>
      </c>
      <c r="C42" s="137">
        <v>0</v>
      </c>
      <c r="D42" s="90" t="s">
        <v>87</v>
      </c>
      <c r="E42" s="136">
        <f>SUM(E43:E45)</f>
        <v>0</v>
      </c>
      <c r="F42" s="136">
        <f>SUM(F43:F45)</f>
        <v>36000</v>
      </c>
    </row>
    <row r="43" spans="1:6" x14ac:dyDescent="0.25">
      <c r="A43" s="87" t="s">
        <v>36</v>
      </c>
      <c r="B43" s="137">
        <v>472797.83</v>
      </c>
      <c r="C43" s="137">
        <v>500267.83</v>
      </c>
      <c r="D43" s="91" t="s">
        <v>88</v>
      </c>
      <c r="E43" s="137">
        <v>0</v>
      </c>
      <c r="F43" s="137">
        <v>36000</v>
      </c>
    </row>
    <row r="44" spans="1:6" x14ac:dyDescent="0.25">
      <c r="A44" s="87" t="s">
        <v>37</v>
      </c>
      <c r="B44" s="137">
        <v>0</v>
      </c>
      <c r="C44" s="137">
        <v>0</v>
      </c>
      <c r="D44" s="91" t="s">
        <v>89</v>
      </c>
      <c r="E44" s="137">
        <v>0</v>
      </c>
      <c r="F44" s="137">
        <v>0</v>
      </c>
    </row>
    <row r="45" spans="1:6" x14ac:dyDescent="0.25">
      <c r="A45" s="87" t="s">
        <v>38</v>
      </c>
      <c r="B45" s="137">
        <v>0</v>
      </c>
      <c r="C45" s="137">
        <v>0</v>
      </c>
      <c r="D45" s="91" t="s">
        <v>90</v>
      </c>
      <c r="E45" s="137">
        <v>0</v>
      </c>
      <c r="F45" s="137">
        <v>0</v>
      </c>
    </row>
    <row r="46" spans="1:6" x14ac:dyDescent="0.25">
      <c r="A46" s="52"/>
      <c r="B46" s="52"/>
      <c r="C46" s="52"/>
      <c r="D46" s="52"/>
      <c r="E46" s="52"/>
      <c r="F46" s="52"/>
    </row>
    <row r="47" spans="1:6" x14ac:dyDescent="0.25">
      <c r="A47" s="53" t="s">
        <v>39</v>
      </c>
      <c r="B47" s="136">
        <f>B9+B17+B25+B31+B38+B41</f>
        <v>39419631.859999999</v>
      </c>
      <c r="C47" s="136">
        <f>C9+C17+C25+C31+C38+C41</f>
        <v>52804046.910000004</v>
      </c>
      <c r="D47" s="89" t="s">
        <v>91</v>
      </c>
      <c r="E47" s="136">
        <f>E9+E19+E23+E26+E27+E31+E38+E42</f>
        <v>107814407.02000001</v>
      </c>
      <c r="F47" s="136">
        <f>F9+F19+F23+F26+F27+F31+F38+F42</f>
        <v>79715564.039999992</v>
      </c>
    </row>
    <row r="48" spans="1:6" x14ac:dyDescent="0.25">
      <c r="A48" s="52"/>
      <c r="B48" s="52"/>
      <c r="C48" s="52"/>
      <c r="D48" s="52"/>
      <c r="E48" s="52"/>
      <c r="F48" s="52"/>
    </row>
    <row r="49" spans="1:6" x14ac:dyDescent="0.25">
      <c r="A49" s="37" t="s">
        <v>40</v>
      </c>
      <c r="B49" s="52"/>
      <c r="C49" s="52"/>
      <c r="D49" s="89" t="s">
        <v>92</v>
      </c>
      <c r="E49" s="52"/>
      <c r="F49" s="52"/>
    </row>
    <row r="50" spans="1:6" x14ac:dyDescent="0.25">
      <c r="A50" s="85" t="s">
        <v>41</v>
      </c>
      <c r="B50" s="137">
        <v>0</v>
      </c>
      <c r="C50" s="137">
        <v>0</v>
      </c>
      <c r="D50" s="90" t="s">
        <v>93</v>
      </c>
      <c r="E50" s="137">
        <v>0</v>
      </c>
      <c r="F50" s="137">
        <v>0</v>
      </c>
    </row>
    <row r="51" spans="1:6" x14ac:dyDescent="0.25">
      <c r="A51" s="85" t="s">
        <v>42</v>
      </c>
      <c r="B51" s="137">
        <v>0</v>
      </c>
      <c r="C51" s="137">
        <v>0</v>
      </c>
      <c r="D51" s="90" t="s">
        <v>94</v>
      </c>
      <c r="E51" s="137">
        <v>0</v>
      </c>
      <c r="F51" s="137">
        <v>0</v>
      </c>
    </row>
    <row r="52" spans="1:6" x14ac:dyDescent="0.25">
      <c r="A52" s="85" t="s">
        <v>43</v>
      </c>
      <c r="B52" s="137">
        <v>816326619.59000003</v>
      </c>
      <c r="C52" s="137">
        <v>800176793.25</v>
      </c>
      <c r="D52" s="90" t="s">
        <v>95</v>
      </c>
      <c r="E52" s="137">
        <v>10608160</v>
      </c>
      <c r="F52" s="137">
        <v>14352160</v>
      </c>
    </row>
    <row r="53" spans="1:6" x14ac:dyDescent="0.25">
      <c r="A53" s="85" t="s">
        <v>44</v>
      </c>
      <c r="B53" s="137">
        <v>115305178.53</v>
      </c>
      <c r="C53" s="137">
        <v>108097274.8</v>
      </c>
      <c r="D53" s="90" t="s">
        <v>96</v>
      </c>
      <c r="E53" s="137">
        <v>0</v>
      </c>
      <c r="F53" s="137">
        <v>0</v>
      </c>
    </row>
    <row r="54" spans="1:6" x14ac:dyDescent="0.25">
      <c r="A54" s="85" t="s">
        <v>45</v>
      </c>
      <c r="B54" s="137">
        <v>7035968.1799999997</v>
      </c>
      <c r="C54" s="137">
        <v>5780110.4199999999</v>
      </c>
      <c r="D54" s="90" t="s">
        <v>97</v>
      </c>
      <c r="E54" s="137">
        <v>0</v>
      </c>
      <c r="F54" s="137">
        <v>0</v>
      </c>
    </row>
    <row r="55" spans="1:6" x14ac:dyDescent="0.25">
      <c r="A55" s="85" t="s">
        <v>46</v>
      </c>
      <c r="B55" s="137">
        <v>-45918437.039999999</v>
      </c>
      <c r="C55" s="137">
        <v>-37586699.079999998</v>
      </c>
      <c r="D55" s="36" t="s">
        <v>98</v>
      </c>
      <c r="E55" s="137">
        <v>0</v>
      </c>
      <c r="F55" s="137">
        <v>0</v>
      </c>
    </row>
    <row r="56" spans="1:6" x14ac:dyDescent="0.25">
      <c r="A56" s="85" t="s">
        <v>47</v>
      </c>
      <c r="B56" s="137">
        <v>1449989.26</v>
      </c>
      <c r="C56" s="137">
        <v>1449989.26</v>
      </c>
      <c r="D56" s="52"/>
      <c r="E56" s="52"/>
      <c r="F56" s="52"/>
    </row>
    <row r="57" spans="1:6" x14ac:dyDescent="0.25">
      <c r="A57" s="85" t="s">
        <v>48</v>
      </c>
      <c r="B57" s="137">
        <v>0</v>
      </c>
      <c r="C57" s="137">
        <v>0</v>
      </c>
      <c r="D57" s="89" t="s">
        <v>99</v>
      </c>
      <c r="E57" s="136">
        <f>SUM(E50:E55)</f>
        <v>10608160</v>
      </c>
      <c r="F57" s="136">
        <f>SUM(F50:F55)</f>
        <v>14352160</v>
      </c>
    </row>
    <row r="58" spans="1:6" x14ac:dyDescent="0.25">
      <c r="A58" s="85" t="s">
        <v>49</v>
      </c>
      <c r="B58" s="137">
        <v>0</v>
      </c>
      <c r="C58" s="137">
        <v>0</v>
      </c>
      <c r="D58" s="52"/>
      <c r="E58" s="52"/>
      <c r="F58" s="52"/>
    </row>
    <row r="59" spans="1:6" x14ac:dyDescent="0.25">
      <c r="A59" s="52"/>
      <c r="B59" s="52"/>
      <c r="C59" s="52"/>
      <c r="D59" s="89" t="s">
        <v>100</v>
      </c>
      <c r="E59" s="136">
        <f>E47+E57</f>
        <v>118422567.02000001</v>
      </c>
      <c r="F59" s="136">
        <f>F47+F57</f>
        <v>94067724.039999992</v>
      </c>
    </row>
    <row r="60" spans="1:6" x14ac:dyDescent="0.25">
      <c r="A60" s="53" t="s">
        <v>50</v>
      </c>
      <c r="B60" s="136">
        <f>SUM(B50:B58)</f>
        <v>894199318.51999998</v>
      </c>
      <c r="C60" s="136">
        <f>SUM(C50:C58)</f>
        <v>877917468.64999986</v>
      </c>
      <c r="D60" s="52"/>
      <c r="E60" s="52"/>
      <c r="F60" s="52"/>
    </row>
    <row r="61" spans="1:6" x14ac:dyDescent="0.25">
      <c r="A61" s="52"/>
      <c r="B61" s="52"/>
      <c r="C61" s="52"/>
      <c r="D61" s="38" t="s">
        <v>101</v>
      </c>
      <c r="E61" s="83"/>
      <c r="F61" s="83"/>
    </row>
    <row r="62" spans="1:6" x14ac:dyDescent="0.25">
      <c r="A62" s="53" t="s">
        <v>51</v>
      </c>
      <c r="B62" s="136">
        <f>SUM(B47+B60)</f>
        <v>933618950.38</v>
      </c>
      <c r="C62" s="136">
        <f>SUM(C47+C60)</f>
        <v>930721515.55999982</v>
      </c>
      <c r="D62" s="52"/>
      <c r="E62" s="52"/>
      <c r="F62" s="52"/>
    </row>
    <row r="63" spans="1:6" x14ac:dyDescent="0.25">
      <c r="A63" s="52"/>
      <c r="B63" s="52"/>
      <c r="C63" s="52"/>
      <c r="D63" s="92" t="s">
        <v>102</v>
      </c>
      <c r="E63" s="136">
        <f>SUM(E64:E66)</f>
        <v>787622658.74000001</v>
      </c>
      <c r="F63" s="136">
        <f>SUM(F64:F66)</f>
        <v>787622658.74000001</v>
      </c>
    </row>
    <row r="64" spans="1:6" x14ac:dyDescent="0.25">
      <c r="A64" s="52"/>
      <c r="B64" s="52"/>
      <c r="C64" s="52"/>
      <c r="D64" s="93" t="s">
        <v>103</v>
      </c>
      <c r="E64" s="137">
        <v>786004034.75</v>
      </c>
      <c r="F64" s="137">
        <v>786004034.75</v>
      </c>
    </row>
    <row r="65" spans="1:6" x14ac:dyDescent="0.25">
      <c r="A65" s="52"/>
      <c r="B65" s="52"/>
      <c r="C65" s="52"/>
      <c r="D65" s="39" t="s">
        <v>104</v>
      </c>
      <c r="E65" s="137">
        <v>1618623.99</v>
      </c>
      <c r="F65" s="137">
        <v>1618623.99</v>
      </c>
    </row>
    <row r="66" spans="1:6" x14ac:dyDescent="0.25">
      <c r="A66" s="52"/>
      <c r="B66" s="52"/>
      <c r="C66" s="52"/>
      <c r="D66" s="93" t="s">
        <v>105</v>
      </c>
      <c r="E66" s="137">
        <v>0</v>
      </c>
      <c r="F66" s="137">
        <v>0</v>
      </c>
    </row>
    <row r="67" spans="1:6" x14ac:dyDescent="0.25">
      <c r="A67" s="52"/>
      <c r="B67" s="52"/>
      <c r="C67" s="52"/>
      <c r="D67" s="52"/>
      <c r="E67" s="52"/>
      <c r="F67" s="52"/>
    </row>
    <row r="68" spans="1:6" x14ac:dyDescent="0.25">
      <c r="A68" s="52"/>
      <c r="B68" s="52"/>
      <c r="C68" s="52"/>
      <c r="D68" s="92" t="s">
        <v>106</v>
      </c>
      <c r="E68" s="136">
        <f>SUM(E69:E73)</f>
        <v>27573724.620000001</v>
      </c>
      <c r="F68" s="136">
        <f>SUM(F69:F73)</f>
        <v>49031132.780000001</v>
      </c>
    </row>
    <row r="69" spans="1:6" x14ac:dyDescent="0.25">
      <c r="A69" s="12"/>
      <c r="B69" s="52"/>
      <c r="C69" s="52"/>
      <c r="D69" s="93" t="s">
        <v>107</v>
      </c>
      <c r="E69" s="137">
        <v>21393024.59</v>
      </c>
      <c r="F69" s="137">
        <v>887994.9</v>
      </c>
    </row>
    <row r="70" spans="1:6" x14ac:dyDescent="0.25">
      <c r="A70" s="12"/>
      <c r="B70" s="52"/>
      <c r="C70" s="52"/>
      <c r="D70" s="93" t="s">
        <v>108</v>
      </c>
      <c r="E70" s="137">
        <v>6180700.0300000003</v>
      </c>
      <c r="F70" s="137">
        <v>48143137.880000003</v>
      </c>
    </row>
    <row r="71" spans="1:6" x14ac:dyDescent="0.25">
      <c r="A71" s="12"/>
      <c r="B71" s="52"/>
      <c r="C71" s="52"/>
      <c r="D71" s="93" t="s">
        <v>109</v>
      </c>
      <c r="E71" s="137">
        <v>0</v>
      </c>
      <c r="F71" s="137">
        <v>0</v>
      </c>
    </row>
    <row r="72" spans="1:6" x14ac:dyDescent="0.25">
      <c r="A72" s="12"/>
      <c r="B72" s="52"/>
      <c r="C72" s="52"/>
      <c r="D72" s="93" t="s">
        <v>110</v>
      </c>
      <c r="E72" s="137">
        <v>0</v>
      </c>
      <c r="F72" s="137">
        <v>0</v>
      </c>
    </row>
    <row r="73" spans="1:6" x14ac:dyDescent="0.25">
      <c r="A73" s="12"/>
      <c r="B73" s="52"/>
      <c r="C73" s="52"/>
      <c r="D73" s="93" t="s">
        <v>111</v>
      </c>
      <c r="E73" s="137">
        <v>0</v>
      </c>
      <c r="F73" s="137">
        <v>0</v>
      </c>
    </row>
    <row r="74" spans="1:6" x14ac:dyDescent="0.25">
      <c r="A74" s="12"/>
      <c r="B74" s="52"/>
      <c r="C74" s="52"/>
      <c r="D74" s="52"/>
      <c r="E74" s="52"/>
      <c r="F74" s="52"/>
    </row>
    <row r="75" spans="1:6" x14ac:dyDescent="0.25">
      <c r="A75" s="12"/>
      <c r="B75" s="52"/>
      <c r="C75" s="52"/>
      <c r="D75" s="92" t="s">
        <v>112</v>
      </c>
      <c r="E75" s="136">
        <f>E76+E77</f>
        <v>0</v>
      </c>
      <c r="F75" s="136">
        <f>F76+F77</f>
        <v>0</v>
      </c>
    </row>
    <row r="76" spans="1:6" x14ac:dyDescent="0.25">
      <c r="A76" s="12"/>
      <c r="B76" s="52"/>
      <c r="C76" s="52"/>
      <c r="D76" s="90" t="s">
        <v>113</v>
      </c>
      <c r="E76" s="137">
        <v>0</v>
      </c>
      <c r="F76" s="137">
        <v>0</v>
      </c>
    </row>
    <row r="77" spans="1:6" x14ac:dyDescent="0.25">
      <c r="A77" s="12"/>
      <c r="B77" s="52"/>
      <c r="C77" s="52"/>
      <c r="D77" s="90" t="s">
        <v>114</v>
      </c>
      <c r="E77" s="137">
        <v>0</v>
      </c>
      <c r="F77" s="137">
        <v>0</v>
      </c>
    </row>
    <row r="78" spans="1:6" x14ac:dyDescent="0.25">
      <c r="A78" s="12"/>
      <c r="B78" s="52"/>
      <c r="C78" s="52"/>
      <c r="D78" s="52"/>
      <c r="E78" s="52"/>
      <c r="F78" s="52"/>
    </row>
    <row r="79" spans="1:6" x14ac:dyDescent="0.25">
      <c r="A79" s="12"/>
      <c r="B79" s="52"/>
      <c r="C79" s="52"/>
      <c r="D79" s="89" t="s">
        <v>115</v>
      </c>
      <c r="E79" s="136">
        <f>E63+E68+E75</f>
        <v>815196383.36000001</v>
      </c>
      <c r="F79" s="136">
        <f>F63+F68+F75</f>
        <v>836653791.51999998</v>
      </c>
    </row>
    <row r="80" spans="1:6" x14ac:dyDescent="0.25">
      <c r="A80" s="12"/>
      <c r="B80" s="52"/>
      <c r="C80" s="52"/>
      <c r="D80" s="52"/>
      <c r="E80" s="52"/>
      <c r="F80" s="52"/>
    </row>
    <row r="81" spans="1:6" x14ac:dyDescent="0.25">
      <c r="A81" s="12"/>
      <c r="B81" s="52"/>
      <c r="C81" s="52"/>
      <c r="D81" s="89" t="s">
        <v>116</v>
      </c>
      <c r="E81" s="136">
        <f>E59+E79</f>
        <v>933618950.38</v>
      </c>
      <c r="F81" s="136">
        <f>F59+F79</f>
        <v>930721515.55999994</v>
      </c>
    </row>
    <row r="82" spans="1:6" x14ac:dyDescent="0.25">
      <c r="A82" s="6"/>
      <c r="B82" s="63"/>
      <c r="C82" s="63"/>
      <c r="D82" s="63"/>
      <c r="E82" s="63"/>
      <c r="F82" s="63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35433070866141736" right="0.62992125984251968" top="0.21" bottom="0.19685039370078741" header="0.15748031496062992" footer="0.15748031496062992"/>
  <pageSetup paperSize="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20432998.399999999</v>
      </c>
      <c r="Q4" s="18">
        <f>'Formato 1'!C9</f>
        <v>31175535.160000004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14250768.01</v>
      </c>
      <c r="Q6" s="18">
        <f>'Formato 1'!C11</f>
        <v>9670699.4199999999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465.82</v>
      </c>
      <c r="Q8" s="18">
        <f>'Formato 1'!C13</f>
        <v>20675771.780000001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6181764.5700000003</v>
      </c>
      <c r="Q9" s="18">
        <f>'Formato 1'!C14</f>
        <v>829063.96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2778845.6100000003</v>
      </c>
      <c r="Q12" s="18">
        <f>'Formato 1'!C17</f>
        <v>725259.4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400000</v>
      </c>
      <c r="Q14" s="18">
        <f>'Formato 1'!C19</f>
        <v>2448.08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43723.51</v>
      </c>
      <c r="Q15" s="18">
        <f>'Formato 1'!C20</f>
        <v>119272.62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141006.5</v>
      </c>
      <c r="Q17" s="18">
        <f>'Formato 1'!C22</f>
        <v>107877.06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2194115.6</v>
      </c>
      <c r="Q19" s="18">
        <f>'Formato 1'!C24</f>
        <v>495661.64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15734990.02</v>
      </c>
      <c r="Q20" s="18">
        <f>'Formato 1'!C25</f>
        <v>20402984.520000003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2074136.01</v>
      </c>
      <c r="Q21" s="18">
        <f>'Formato 1'!C26</f>
        <v>2102898.5099999998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13660854.01</v>
      </c>
      <c r="Q24" s="18">
        <f>'Formato 1'!C29</f>
        <v>18300086.010000002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472797.83</v>
      </c>
      <c r="Q37" s="18">
        <f>'Formato 1'!C41</f>
        <v>500267.83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472797.83</v>
      </c>
      <c r="Q39" s="18">
        <f>'Formato 1'!C43</f>
        <v>500267.83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39419631.859999999</v>
      </c>
      <c r="Q42" s="18">
        <f>'Formato 1'!C47</f>
        <v>52804046.910000004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816326619.59000003</v>
      </c>
      <c r="Q46">
        <f>'Formato 1'!C52</f>
        <v>800176793.25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115305178.53</v>
      </c>
      <c r="Q47">
        <f>'Formato 1'!C53</f>
        <v>108097274.8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7035968.1799999997</v>
      </c>
      <c r="Q48">
        <f>'Formato 1'!C54</f>
        <v>5780110.4199999999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-45918437.039999999</v>
      </c>
      <c r="Q49">
        <f>'Formato 1'!C55</f>
        <v>-37586699.079999998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1449989.26</v>
      </c>
      <c r="Q50">
        <f>'Formato 1'!C56</f>
        <v>1449989.26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894199318.51999998</v>
      </c>
      <c r="Q53">
        <f>'Formato 1'!C60</f>
        <v>877917468.64999986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933618950.38</v>
      </c>
      <c r="Q54">
        <f>'Formato 1'!C62</f>
        <v>930721515.55999982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75814407.020000011</v>
      </c>
      <c r="Q57">
        <f>'Formato 1'!F9</f>
        <v>50679564.039999992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7829449.0300000003</v>
      </c>
      <c r="Q58">
        <f>'Formato 1'!F10</f>
        <v>46474.45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51774714.5</v>
      </c>
      <c r="Q59">
        <f>'Formato 1'!F11</f>
        <v>32949000.43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8152699.6900000004</v>
      </c>
      <c r="Q60">
        <f>'Formato 1'!F12</f>
        <v>11030513.34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2722136.84</v>
      </c>
      <c r="Q62">
        <f>'Formato 1'!F14</f>
        <v>780825.47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457703.92</v>
      </c>
      <c r="Q64">
        <f>'Formato 1'!F16</f>
        <v>438193.94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4877703.04</v>
      </c>
      <c r="Q66">
        <f>'Formato 1'!F18</f>
        <v>5434556.4100000001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32000000</v>
      </c>
      <c r="Q76">
        <f>'Formato 1'!F27</f>
        <v>29000000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32000000</v>
      </c>
      <c r="Q79">
        <f>'Formato 1'!F30</f>
        <v>29000000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36000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36000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107814407.02000001</v>
      </c>
      <c r="Q95">
        <f>'Formato 1'!F47</f>
        <v>79715564.039999992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10608160</v>
      </c>
      <c r="Q99">
        <f>'Formato 1'!F52</f>
        <v>14352160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10608160</v>
      </c>
      <c r="Q103">
        <f>'Formato 1'!F57</f>
        <v>14352160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118422567.02000001</v>
      </c>
      <c r="Q104">
        <f>'Formato 1'!F59</f>
        <v>94067724.039999992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787622658.74000001</v>
      </c>
      <c r="Q106">
        <f>'Formato 1'!F63</f>
        <v>787622658.74000001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786004034.75</v>
      </c>
      <c r="Q107">
        <f>'Formato 1'!F64</f>
        <v>786004034.75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1618623.99</v>
      </c>
      <c r="Q108">
        <f>'Formato 1'!F65</f>
        <v>1618623.99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27573724.620000001</v>
      </c>
      <c r="Q110">
        <f>'Formato 1'!F68</f>
        <v>49031132.780000001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21393024.59</v>
      </c>
      <c r="Q111">
        <f>'Formato 1'!F69</f>
        <v>887994.9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6180700.0300000003</v>
      </c>
      <c r="Q112">
        <f>'Formato 1'!F70</f>
        <v>48143137.880000003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815196383.36000001</v>
      </c>
      <c r="Q119">
        <f>'Formato 1'!F79</f>
        <v>836653791.51999998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933618950.38</v>
      </c>
      <c r="Q120">
        <f>'Formato 1'!F81</f>
        <v>930721515.55999994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19" sqref="A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80" customFormat="1" ht="37.5" customHeight="1" x14ac:dyDescent="0.25">
      <c r="A1" s="158" t="s">
        <v>536</v>
      </c>
      <c r="B1" s="158"/>
      <c r="C1" s="158"/>
      <c r="D1" s="158"/>
      <c r="E1" s="158"/>
      <c r="F1" s="158"/>
      <c r="G1" s="158"/>
      <c r="H1" s="158"/>
    </row>
    <row r="2" spans="1:9" ht="14.25" x14ac:dyDescent="0.45">
      <c r="A2" s="144" t="str">
        <f>ENTE_PUBLICO_A</f>
        <v>MUNICIPIO DE SILAO DE LA VICTORIA, Gobierno del Estado de Guanajuato (a)</v>
      </c>
      <c r="B2" s="145"/>
      <c r="C2" s="145"/>
      <c r="D2" s="145"/>
      <c r="E2" s="145"/>
      <c r="F2" s="145"/>
      <c r="G2" s="145"/>
      <c r="H2" s="146"/>
    </row>
    <row r="3" spans="1:9" x14ac:dyDescent="0.25">
      <c r="A3" s="147" t="s">
        <v>120</v>
      </c>
      <c r="B3" s="148"/>
      <c r="C3" s="148"/>
      <c r="D3" s="148"/>
      <c r="E3" s="148"/>
      <c r="F3" s="148"/>
      <c r="G3" s="148"/>
      <c r="H3" s="149"/>
    </row>
    <row r="4" spans="1:9" ht="14.25" x14ac:dyDescent="0.45">
      <c r="A4" s="150" t="str">
        <f>PERIODO_INFORME</f>
        <v>Al 31 de diciembre de 2019 y al 31 de diciembre de 2020 (b)</v>
      </c>
      <c r="B4" s="151"/>
      <c r="C4" s="151"/>
      <c r="D4" s="151"/>
      <c r="E4" s="151"/>
      <c r="F4" s="151"/>
      <c r="G4" s="151"/>
      <c r="H4" s="152"/>
    </row>
    <row r="5" spans="1:9" ht="14.25" x14ac:dyDescent="0.45">
      <c r="A5" s="153" t="s">
        <v>118</v>
      </c>
      <c r="B5" s="154"/>
      <c r="C5" s="154"/>
      <c r="D5" s="154"/>
      <c r="E5" s="154"/>
      <c r="F5" s="154"/>
      <c r="G5" s="154"/>
      <c r="H5" s="155"/>
    </row>
    <row r="6" spans="1:9" ht="45" x14ac:dyDescent="0.25">
      <c r="A6" s="94" t="s">
        <v>121</v>
      </c>
      <c r="B6" s="95" t="str">
        <f>ULTIMO_SALDO</f>
        <v>Saldo al 31 de diciembre de 2019 (d)</v>
      </c>
      <c r="C6" s="94" t="s">
        <v>122</v>
      </c>
      <c r="D6" s="94" t="s">
        <v>123</v>
      </c>
      <c r="E6" s="94" t="s">
        <v>124</v>
      </c>
      <c r="F6" s="94" t="s">
        <v>138</v>
      </c>
      <c r="G6" s="94" t="s">
        <v>125</v>
      </c>
      <c r="H6" s="43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96" t="s">
        <v>127</v>
      </c>
      <c r="B8" s="136">
        <f>B9+B13</f>
        <v>14352160</v>
      </c>
      <c r="C8" s="136">
        <f t="shared" ref="C8:H8" si="0">C9+C13</f>
        <v>0</v>
      </c>
      <c r="D8" s="136">
        <f t="shared" si="0"/>
        <v>3744000</v>
      </c>
      <c r="E8" s="136">
        <f t="shared" si="0"/>
        <v>0</v>
      </c>
      <c r="F8" s="136">
        <f t="shared" si="0"/>
        <v>10608160</v>
      </c>
      <c r="G8" s="136">
        <f t="shared" si="0"/>
        <v>1049326.97</v>
      </c>
      <c r="H8" s="136">
        <f t="shared" si="0"/>
        <v>0</v>
      </c>
    </row>
    <row r="9" spans="1:9" x14ac:dyDescent="0.25">
      <c r="A9" s="97" t="s">
        <v>128</v>
      </c>
      <c r="B9" s="136">
        <f>SUM(B10:B12)</f>
        <v>0</v>
      </c>
      <c r="C9" s="136">
        <f t="shared" ref="C9:H9" si="1">SUM(C10:C12)</f>
        <v>0</v>
      </c>
      <c r="D9" s="136">
        <f t="shared" si="1"/>
        <v>0</v>
      </c>
      <c r="E9" s="136">
        <f t="shared" si="1"/>
        <v>0</v>
      </c>
      <c r="F9" s="136">
        <f t="shared" si="1"/>
        <v>0</v>
      </c>
      <c r="G9" s="136">
        <f t="shared" si="1"/>
        <v>0</v>
      </c>
      <c r="H9" s="136">
        <f t="shared" si="1"/>
        <v>0</v>
      </c>
    </row>
    <row r="10" spans="1:9" x14ac:dyDescent="0.25">
      <c r="A10" s="98" t="s">
        <v>129</v>
      </c>
      <c r="B10" s="137">
        <v>0</v>
      </c>
      <c r="C10" s="137">
        <v>0</v>
      </c>
      <c r="D10" s="137">
        <v>0</v>
      </c>
      <c r="E10" s="137">
        <v>0</v>
      </c>
      <c r="F10" s="137">
        <f>+B10+C10-D10</f>
        <v>0</v>
      </c>
      <c r="G10" s="137">
        <v>0</v>
      </c>
      <c r="H10" s="137">
        <v>0</v>
      </c>
    </row>
    <row r="11" spans="1:9" x14ac:dyDescent="0.25">
      <c r="A11" s="98" t="s">
        <v>130</v>
      </c>
      <c r="B11" s="137">
        <v>0</v>
      </c>
      <c r="C11" s="137">
        <v>0</v>
      </c>
      <c r="D11" s="137">
        <v>0</v>
      </c>
      <c r="E11" s="137">
        <v>0</v>
      </c>
      <c r="F11" s="137">
        <f t="shared" ref="F11:F12" si="2">+B11+C11-D11</f>
        <v>0</v>
      </c>
      <c r="G11" s="137">
        <v>0</v>
      </c>
      <c r="H11" s="137">
        <v>0</v>
      </c>
    </row>
    <row r="12" spans="1:9" x14ac:dyDescent="0.25">
      <c r="A12" s="98" t="s">
        <v>131</v>
      </c>
      <c r="B12" s="137">
        <v>0</v>
      </c>
      <c r="C12" s="137">
        <v>0</v>
      </c>
      <c r="D12" s="137">
        <v>0</v>
      </c>
      <c r="E12" s="137">
        <v>0</v>
      </c>
      <c r="F12" s="137">
        <f t="shared" si="2"/>
        <v>0</v>
      </c>
      <c r="G12" s="137">
        <v>0</v>
      </c>
      <c r="H12" s="137">
        <v>0</v>
      </c>
    </row>
    <row r="13" spans="1:9" x14ac:dyDescent="0.25">
      <c r="A13" s="97" t="s">
        <v>132</v>
      </c>
      <c r="B13" s="136">
        <f>SUM(B14:B16)</f>
        <v>14352160</v>
      </c>
      <c r="C13" s="136">
        <f t="shared" ref="C13:H13" si="3">SUM(C14:C16)</f>
        <v>0</v>
      </c>
      <c r="D13" s="136">
        <f t="shared" si="3"/>
        <v>3744000</v>
      </c>
      <c r="E13" s="136">
        <f t="shared" si="3"/>
        <v>0</v>
      </c>
      <c r="F13" s="136">
        <f t="shared" si="3"/>
        <v>10608160</v>
      </c>
      <c r="G13" s="136">
        <f t="shared" si="3"/>
        <v>1049326.97</v>
      </c>
      <c r="H13" s="136">
        <f t="shared" si="3"/>
        <v>0</v>
      </c>
    </row>
    <row r="14" spans="1:9" x14ac:dyDescent="0.25">
      <c r="A14" s="98" t="s">
        <v>133</v>
      </c>
      <c r="B14" s="137">
        <v>14352160</v>
      </c>
      <c r="C14" s="137">
        <v>0</v>
      </c>
      <c r="D14" s="137">
        <f>312000*12</f>
        <v>3744000</v>
      </c>
      <c r="E14" s="137">
        <v>0</v>
      </c>
      <c r="F14" s="137">
        <f>+B14+C14-D14</f>
        <v>10608160</v>
      </c>
      <c r="G14" s="137">
        <v>1049326.97</v>
      </c>
      <c r="H14" s="137">
        <v>0</v>
      </c>
    </row>
    <row r="15" spans="1:9" x14ac:dyDescent="0.25">
      <c r="A15" s="98" t="s">
        <v>134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</row>
    <row r="16" spans="1:9" x14ac:dyDescent="0.25">
      <c r="A16" s="98" t="s">
        <v>135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</row>
    <row r="17" spans="1:8" ht="14.25" x14ac:dyDescent="0.45">
      <c r="A17" s="52"/>
      <c r="B17" s="12"/>
      <c r="C17" s="12"/>
      <c r="D17" s="12"/>
      <c r="E17" s="12"/>
      <c r="F17" s="12"/>
      <c r="G17" s="12"/>
      <c r="H17" s="12"/>
    </row>
    <row r="18" spans="1:8" x14ac:dyDescent="0.25">
      <c r="A18" s="96" t="s">
        <v>136</v>
      </c>
      <c r="B18" s="136">
        <v>79476573.040000007</v>
      </c>
      <c r="C18" s="119"/>
      <c r="D18" s="119"/>
      <c r="E18" s="119"/>
      <c r="F18" s="136">
        <v>107814407.02</v>
      </c>
      <c r="G18" s="119"/>
      <c r="H18" s="119"/>
    </row>
    <row r="19" spans="1:8" ht="14.25" x14ac:dyDescent="0.45">
      <c r="A19" s="77"/>
      <c r="B19" s="5"/>
      <c r="C19" s="5"/>
      <c r="D19" s="5"/>
      <c r="E19" s="5"/>
      <c r="F19" s="5"/>
      <c r="G19" s="5"/>
      <c r="H19" s="5"/>
    </row>
    <row r="20" spans="1:8" x14ac:dyDescent="0.25">
      <c r="A20" s="96" t="s">
        <v>137</v>
      </c>
      <c r="B20" s="136">
        <f>B8+B18</f>
        <v>93828733.040000007</v>
      </c>
      <c r="C20" s="136">
        <f t="shared" ref="C20:H20" si="4">C8+C18</f>
        <v>0</v>
      </c>
      <c r="D20" s="136">
        <f t="shared" si="4"/>
        <v>3744000</v>
      </c>
      <c r="E20" s="136">
        <f t="shared" si="4"/>
        <v>0</v>
      </c>
      <c r="F20" s="136">
        <f t="shared" si="4"/>
        <v>118422567.02</v>
      </c>
      <c r="G20" s="136">
        <f t="shared" si="4"/>
        <v>1049326.97</v>
      </c>
      <c r="H20" s="136">
        <f t="shared" si="4"/>
        <v>0</v>
      </c>
    </row>
    <row r="21" spans="1:8" ht="14.25" x14ac:dyDescent="0.45">
      <c r="A21" s="52"/>
      <c r="B21" s="52"/>
      <c r="C21" s="52"/>
      <c r="D21" s="52"/>
      <c r="E21" s="52"/>
      <c r="F21" s="52"/>
      <c r="G21" s="52"/>
      <c r="H21" s="52"/>
    </row>
    <row r="22" spans="1:8" ht="17.25" x14ac:dyDescent="0.25">
      <c r="A22" s="96" t="s">
        <v>3288</v>
      </c>
      <c r="B22" s="136">
        <f>SUM(B23:DEUDA_CONT_FIN_01)</f>
        <v>0</v>
      </c>
      <c r="C22" s="136">
        <f>SUM(C23:DEUDA_CONT_FIN_02)</f>
        <v>0</v>
      </c>
      <c r="D22" s="136">
        <f>SUM(D23:DEUDA_CONT_FIN_03)</f>
        <v>0</v>
      </c>
      <c r="E22" s="136">
        <f>SUM(E23:DEUDA_CONT_FIN_04)</f>
        <v>0</v>
      </c>
      <c r="F22" s="136">
        <f>SUM(F23:DEUDA_CONT_FIN_05)</f>
        <v>0</v>
      </c>
      <c r="G22" s="136">
        <f>SUM(G23:DEUDA_CONT_FIN_06)</f>
        <v>0</v>
      </c>
      <c r="H22" s="136">
        <f>SUM(H23:DEUDA_CONT_FIN_07)</f>
        <v>0</v>
      </c>
    </row>
    <row r="23" spans="1:8" s="23" customFormat="1" x14ac:dyDescent="0.25">
      <c r="A23" s="99" t="s">
        <v>434</v>
      </c>
      <c r="B23" s="137">
        <v>0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</row>
    <row r="24" spans="1:8" s="23" customFormat="1" x14ac:dyDescent="0.25">
      <c r="A24" s="99" t="s">
        <v>435</v>
      </c>
      <c r="B24" s="137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</row>
    <row r="25" spans="1:8" s="23" customFormat="1" x14ac:dyDescent="0.25">
      <c r="A25" s="99" t="s">
        <v>436</v>
      </c>
      <c r="B25" s="137">
        <v>0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v>0</v>
      </c>
    </row>
    <row r="26" spans="1:8" ht="14.25" x14ac:dyDescent="0.45">
      <c r="A26" s="68" t="s">
        <v>678</v>
      </c>
      <c r="B26" s="52"/>
      <c r="C26" s="52"/>
      <c r="D26" s="52"/>
      <c r="E26" s="52"/>
      <c r="F26" s="52"/>
      <c r="G26" s="52"/>
      <c r="H26" s="52"/>
    </row>
    <row r="27" spans="1:8" ht="17.25" x14ac:dyDescent="0.25">
      <c r="A27" s="96" t="s">
        <v>3289</v>
      </c>
      <c r="B27" s="136">
        <f>SUM(B28:VALOR_INS_BCC_FIN_01)</f>
        <v>0</v>
      </c>
      <c r="C27" s="136">
        <f>SUM(C28:VALOR_INS_BCC_FIN_02)</f>
        <v>0</v>
      </c>
      <c r="D27" s="136">
        <f>SUM(D28:VALOR_INS_BCC_FIN_03)</f>
        <v>0</v>
      </c>
      <c r="E27" s="136">
        <f>SUM(E28:VALOR_INS_BCC_FIN_04)</f>
        <v>0</v>
      </c>
      <c r="F27" s="136">
        <f>SUM(F28:VALOR_INS_BCC_FIN_05)</f>
        <v>0</v>
      </c>
      <c r="G27" s="136">
        <f>SUM(G28:VALOR_INS_BCC_FIN_06)</f>
        <v>0</v>
      </c>
      <c r="H27" s="136">
        <f>SUM(H28:VALOR_INS_BCC_FIN_07)</f>
        <v>0</v>
      </c>
    </row>
    <row r="28" spans="1:8" s="23" customFormat="1" x14ac:dyDescent="0.25">
      <c r="A28" s="99" t="s">
        <v>437</v>
      </c>
      <c r="B28" s="137">
        <v>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</row>
    <row r="29" spans="1:8" s="23" customFormat="1" x14ac:dyDescent="0.25">
      <c r="A29" s="99" t="s">
        <v>438</v>
      </c>
      <c r="B29" s="137">
        <v>0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</row>
    <row r="30" spans="1:8" s="23" customFormat="1" x14ac:dyDescent="0.25">
      <c r="A30" s="99" t="s">
        <v>439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</row>
    <row r="31" spans="1:8" x14ac:dyDescent="0.25">
      <c r="A31" s="10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80"/>
    </row>
    <row r="33" spans="1:8" ht="12" customHeight="1" x14ac:dyDescent="0.25">
      <c r="A33" s="157" t="s">
        <v>3292</v>
      </c>
      <c r="B33" s="157"/>
      <c r="C33" s="157"/>
      <c r="D33" s="157"/>
      <c r="E33" s="157"/>
      <c r="F33" s="157"/>
      <c r="G33" s="157"/>
      <c r="H33" s="157"/>
    </row>
    <row r="34" spans="1:8" ht="12" customHeight="1" x14ac:dyDescent="0.25">
      <c r="A34" s="157"/>
      <c r="B34" s="157"/>
      <c r="C34" s="157"/>
      <c r="D34" s="157"/>
      <c r="E34" s="157"/>
      <c r="F34" s="157"/>
      <c r="G34" s="157"/>
      <c r="H34" s="157"/>
    </row>
    <row r="35" spans="1:8" ht="12" customHeight="1" x14ac:dyDescent="0.25">
      <c r="A35" s="157"/>
      <c r="B35" s="157"/>
      <c r="C35" s="157"/>
      <c r="D35" s="157"/>
      <c r="E35" s="157"/>
      <c r="F35" s="157"/>
      <c r="G35" s="157"/>
      <c r="H35" s="157"/>
    </row>
    <row r="36" spans="1:8" ht="12" customHeight="1" x14ac:dyDescent="0.25">
      <c r="A36" s="157"/>
      <c r="B36" s="157"/>
      <c r="C36" s="157"/>
      <c r="D36" s="157"/>
      <c r="E36" s="157"/>
      <c r="F36" s="157"/>
      <c r="G36" s="157"/>
      <c r="H36" s="157"/>
    </row>
    <row r="37" spans="1:8" ht="12" customHeight="1" x14ac:dyDescent="0.25">
      <c r="A37" s="157"/>
      <c r="B37" s="157"/>
      <c r="C37" s="157"/>
      <c r="D37" s="157"/>
      <c r="E37" s="157"/>
      <c r="F37" s="157"/>
      <c r="G37" s="157"/>
      <c r="H37" s="157"/>
    </row>
    <row r="38" spans="1:8" x14ac:dyDescent="0.25">
      <c r="A38" s="80"/>
    </row>
    <row r="39" spans="1:8" ht="30" x14ac:dyDescent="0.25">
      <c r="A39" s="94" t="s">
        <v>139</v>
      </c>
      <c r="B39" s="94" t="s">
        <v>142</v>
      </c>
      <c r="C39" s="94" t="s">
        <v>143</v>
      </c>
      <c r="D39" s="94" t="s">
        <v>144</v>
      </c>
      <c r="E39" s="94" t="s">
        <v>140</v>
      </c>
      <c r="F39" s="43" t="s">
        <v>145</v>
      </c>
    </row>
    <row r="40" spans="1:8" x14ac:dyDescent="0.25">
      <c r="A40" s="77"/>
      <c r="B40" s="5"/>
      <c r="C40" s="5"/>
      <c r="D40" s="5"/>
      <c r="E40" s="5"/>
      <c r="F40" s="5"/>
    </row>
    <row r="41" spans="1:8" x14ac:dyDescent="0.25">
      <c r="A41" s="96" t="s">
        <v>141</v>
      </c>
      <c r="B41" s="59">
        <f>SUM(B42:OB_CORTO_PLAZO_FIN_01)</f>
        <v>3</v>
      </c>
      <c r="C41" s="59">
        <f>SUM(C42:OB_CORTO_PLAZO_FIN_02)</f>
        <v>3</v>
      </c>
      <c r="D41" s="59">
        <f>SUM(D42:OB_CORTO_PLAZO_FIN_03)</f>
        <v>3</v>
      </c>
      <c r="E41" s="59">
        <f>SUM(E42:OB_CORTO_PLAZO_FIN_04)</f>
        <v>3</v>
      </c>
      <c r="F41" s="59">
        <f>SUM(F42:OB_CORTO_PLAZO_FIN_05)</f>
        <v>3</v>
      </c>
    </row>
    <row r="42" spans="1:8" s="23" customFormat="1" x14ac:dyDescent="0.25">
      <c r="A42" s="99" t="s">
        <v>440</v>
      </c>
      <c r="B42" s="58">
        <v>1</v>
      </c>
      <c r="C42" s="58">
        <v>1</v>
      </c>
      <c r="D42" s="58">
        <v>1</v>
      </c>
      <c r="E42" s="58">
        <v>1</v>
      </c>
      <c r="F42" s="58">
        <v>1</v>
      </c>
    </row>
    <row r="43" spans="1:8" s="23" customFormat="1" x14ac:dyDescent="0.25">
      <c r="A43" s="99" t="s">
        <v>441</v>
      </c>
      <c r="B43" s="58">
        <v>1</v>
      </c>
      <c r="C43" s="58">
        <v>1</v>
      </c>
      <c r="D43" s="58">
        <v>1</v>
      </c>
      <c r="E43" s="58">
        <v>1</v>
      </c>
      <c r="F43" s="58">
        <v>1</v>
      </c>
    </row>
    <row r="44" spans="1:8" s="23" customFormat="1" x14ac:dyDescent="0.25">
      <c r="A44" s="99" t="s">
        <v>442</v>
      </c>
      <c r="B44" s="58">
        <v>1</v>
      </c>
      <c r="C44" s="58">
        <v>1</v>
      </c>
      <c r="D44" s="58">
        <v>1</v>
      </c>
      <c r="E44" s="58">
        <v>1</v>
      </c>
      <c r="F44" s="58">
        <v>1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31496062992125984" right="0.15748031496062992" top="0.74803149606299213" bottom="0.74803149606299213" header="0.31496062992125984" footer="0.31496062992125984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14352160</v>
      </c>
      <c r="Q3" s="18">
        <f>'Formato 2'!C8</f>
        <v>0</v>
      </c>
      <c r="R3" s="18">
        <f>'Formato 2'!D8</f>
        <v>3744000</v>
      </c>
      <c r="S3" s="18">
        <f>'Formato 2'!E8</f>
        <v>0</v>
      </c>
      <c r="T3" s="18">
        <f>'Formato 2'!F8</f>
        <v>10608160</v>
      </c>
      <c r="U3" s="18">
        <f>'Formato 2'!G8</f>
        <v>1049326.97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14352160</v>
      </c>
      <c r="Q8" s="18">
        <f>'Formato 2'!C13</f>
        <v>0</v>
      </c>
      <c r="R8" s="18">
        <f>'Formato 2'!D13</f>
        <v>3744000</v>
      </c>
      <c r="S8" s="18">
        <f>'Formato 2'!E13</f>
        <v>0</v>
      </c>
      <c r="T8" s="18">
        <f>'Formato 2'!F13</f>
        <v>10608160</v>
      </c>
      <c r="U8" s="18">
        <f>'Formato 2'!G13</f>
        <v>1049326.97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14352160</v>
      </c>
      <c r="Q9" s="18">
        <f>'Formato 2'!C14</f>
        <v>0</v>
      </c>
      <c r="R9" s="18">
        <f>'Formato 2'!D14</f>
        <v>3744000</v>
      </c>
      <c r="S9" s="18">
        <f>'Formato 2'!E14</f>
        <v>0</v>
      </c>
      <c r="T9" s="18">
        <f>'Formato 2'!F14</f>
        <v>10608160</v>
      </c>
      <c r="U9" s="18">
        <f>'Formato 2'!G14</f>
        <v>1049326.97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79476573.040000007</v>
      </c>
      <c r="Q12" s="18"/>
      <c r="R12" s="18"/>
      <c r="S12" s="18"/>
      <c r="T12" s="18">
        <f>'Formato 2'!F18</f>
        <v>107814407.02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93828733.040000007</v>
      </c>
      <c r="Q13" s="18">
        <f>'Formato 2'!C20</f>
        <v>0</v>
      </c>
      <c r="R13" s="18">
        <f>'Formato 2'!D20</f>
        <v>3744000</v>
      </c>
      <c r="S13" s="18">
        <f>'Formato 2'!E20</f>
        <v>0</v>
      </c>
      <c r="T13" s="18">
        <f>'Formato 2'!F20</f>
        <v>118422567.02</v>
      </c>
      <c r="U13" s="18">
        <f>'Formato 2'!G20</f>
        <v>1049326.97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11" sqref="A1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81" customFormat="1" ht="37.5" customHeight="1" x14ac:dyDescent="0.25">
      <c r="A1" s="156" t="s">
        <v>535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01"/>
    </row>
    <row r="2" spans="1:12" ht="14.25" x14ac:dyDescent="0.45">
      <c r="A2" s="144" t="str">
        <f>ENTE_PUBLICO_A</f>
        <v>MUNICIPIO DE SILAO DE LA VICTORIA, Gobierno del Estado de Guanajuato (a)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2" x14ac:dyDescent="0.25">
      <c r="A3" s="147" t="s">
        <v>146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</row>
    <row r="4" spans="1:12" ht="14.25" x14ac:dyDescent="0.45">
      <c r="A4" s="150" t="str">
        <f>TRIMESTRE</f>
        <v>Del 1 de enero al 31 de diciembre de 2020 (b)</v>
      </c>
      <c r="B4" s="151"/>
      <c r="C4" s="151"/>
      <c r="D4" s="151"/>
      <c r="E4" s="151"/>
      <c r="F4" s="151"/>
      <c r="G4" s="151"/>
      <c r="H4" s="151"/>
      <c r="I4" s="151"/>
      <c r="J4" s="151"/>
      <c r="K4" s="152"/>
    </row>
    <row r="5" spans="1:12" ht="14.25" x14ac:dyDescent="0.45">
      <c r="A5" s="147" t="s">
        <v>118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</row>
    <row r="6" spans="1:12" ht="75" x14ac:dyDescent="0.25">
      <c r="A6" s="43" t="s">
        <v>147</v>
      </c>
      <c r="B6" s="43" t="s">
        <v>148</v>
      </c>
      <c r="C6" s="43" t="s">
        <v>149</v>
      </c>
      <c r="D6" s="43" t="s">
        <v>150</v>
      </c>
      <c r="E6" s="43" t="s">
        <v>151</v>
      </c>
      <c r="F6" s="43" t="s">
        <v>152</v>
      </c>
      <c r="G6" s="43" t="s">
        <v>153</v>
      </c>
      <c r="H6" s="43" t="s">
        <v>154</v>
      </c>
      <c r="I6" s="118" t="str">
        <f>MONTO1</f>
        <v>Monto pagado de la inversión al 31 de diciembre de 2020 (k)</v>
      </c>
      <c r="J6" s="118" t="str">
        <f>MONTO2</f>
        <v>Monto pagado de la inversión actualizado al 31 de diciembre de 2020 (l)</v>
      </c>
      <c r="K6" s="118" t="str">
        <f>SALDO_PENDIENTE</f>
        <v>Saldo pendiente por pagar de la inversión al 31 de diciembre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7" t="s">
        <v>155</v>
      </c>
      <c r="B8" s="116"/>
      <c r="C8" s="116"/>
      <c r="D8" s="116"/>
      <c r="E8" s="59">
        <f>SUM(E9:APP_FIN_04)</f>
        <v>0</v>
      </c>
      <c r="F8" s="116"/>
      <c r="G8" s="136">
        <f>SUM(G9:APP_FIN_06)</f>
        <v>0</v>
      </c>
      <c r="H8" s="136">
        <f>SUM(H9:APP_FIN_07)</f>
        <v>0</v>
      </c>
      <c r="I8" s="136">
        <f>SUM(I9:APP_FIN_08)</f>
        <v>0</v>
      </c>
      <c r="J8" s="136">
        <f>SUM(J9:APP_FIN_09)</f>
        <v>0</v>
      </c>
      <c r="K8" s="136">
        <f>SUM(K9:APP_FIN_10)</f>
        <v>0</v>
      </c>
    </row>
    <row r="9" spans="1:12" s="23" customFormat="1" x14ac:dyDescent="0.25">
      <c r="A9" s="104" t="s">
        <v>156</v>
      </c>
      <c r="B9" s="102"/>
      <c r="C9" s="102"/>
      <c r="D9" s="102"/>
      <c r="E9" s="58">
        <v>0</v>
      </c>
      <c r="F9" s="58">
        <v>80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</row>
    <row r="10" spans="1:12" s="23" customFormat="1" x14ac:dyDescent="0.25">
      <c r="A10" s="104" t="s">
        <v>157</v>
      </c>
      <c r="B10" s="102"/>
      <c r="C10" s="102"/>
      <c r="D10" s="102"/>
      <c r="E10" s="58">
        <v>0</v>
      </c>
      <c r="F10" s="58">
        <v>70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</row>
    <row r="11" spans="1:12" s="23" customFormat="1" x14ac:dyDescent="0.25">
      <c r="A11" s="104" t="s">
        <v>158</v>
      </c>
      <c r="B11" s="102"/>
      <c r="C11" s="102"/>
      <c r="D11" s="102"/>
      <c r="E11" s="58">
        <v>0</v>
      </c>
      <c r="F11" s="58">
        <v>60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</row>
    <row r="12" spans="1:12" s="23" customFormat="1" x14ac:dyDescent="0.25">
      <c r="A12" s="104" t="s">
        <v>159</v>
      </c>
      <c r="B12" s="102"/>
      <c r="C12" s="102"/>
      <c r="D12" s="102"/>
      <c r="E12" s="58">
        <v>0</v>
      </c>
      <c r="F12" s="58">
        <v>50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</row>
    <row r="13" spans="1:12" ht="14.25" x14ac:dyDescent="0.45">
      <c r="A13" s="105" t="s">
        <v>678</v>
      </c>
      <c r="B13" s="103"/>
      <c r="C13" s="103"/>
      <c r="D13" s="103"/>
      <c r="E13" s="52"/>
      <c r="F13" s="52"/>
      <c r="G13" s="52"/>
      <c r="H13" s="52"/>
      <c r="I13" s="52"/>
      <c r="J13" s="52"/>
      <c r="K13" s="52"/>
    </row>
    <row r="14" spans="1:12" x14ac:dyDescent="0.25">
      <c r="A14" s="37" t="s">
        <v>160</v>
      </c>
      <c r="B14" s="116"/>
      <c r="C14" s="116"/>
      <c r="D14" s="116"/>
      <c r="E14" s="59">
        <f>SUM(E15:OTROS_FIN_04)</f>
        <v>0</v>
      </c>
      <c r="F14" s="116"/>
      <c r="G14" s="136">
        <f>SUM(G15:OTROS_FIN_06)</f>
        <v>0</v>
      </c>
      <c r="H14" s="136">
        <f>SUM(H15:OTROS_FIN_07)</f>
        <v>0</v>
      </c>
      <c r="I14" s="136">
        <f>SUM(I15:OTROS_FIN_08)</f>
        <v>0</v>
      </c>
      <c r="J14" s="136">
        <f>SUM(J15:OTROS_FIN_09)</f>
        <v>0</v>
      </c>
      <c r="K14" s="136">
        <f>SUM(K15:OTROS_FIN_10)</f>
        <v>0</v>
      </c>
    </row>
    <row r="15" spans="1:12" s="23" customFormat="1" x14ac:dyDescent="0.25">
      <c r="A15" s="104" t="s">
        <v>161</v>
      </c>
      <c r="B15" s="102"/>
      <c r="C15" s="102"/>
      <c r="D15" s="102"/>
      <c r="E15" s="58">
        <v>0</v>
      </c>
      <c r="F15" s="58">
        <v>40</v>
      </c>
      <c r="G15" s="137">
        <v>0</v>
      </c>
      <c r="H15" s="137">
        <v>0</v>
      </c>
      <c r="I15" s="137">
        <v>0</v>
      </c>
      <c r="J15" s="137">
        <v>0</v>
      </c>
      <c r="K15" s="137">
        <f>E15-J15</f>
        <v>0</v>
      </c>
    </row>
    <row r="16" spans="1:12" s="23" customFormat="1" x14ac:dyDescent="0.25">
      <c r="A16" s="104" t="s">
        <v>162</v>
      </c>
      <c r="B16" s="102"/>
      <c r="C16" s="102"/>
      <c r="D16" s="102"/>
      <c r="E16" s="58">
        <v>0</v>
      </c>
      <c r="F16" s="58">
        <v>30</v>
      </c>
      <c r="G16" s="137">
        <v>0</v>
      </c>
      <c r="H16" s="137">
        <v>0</v>
      </c>
      <c r="I16" s="137">
        <v>0</v>
      </c>
      <c r="J16" s="137">
        <v>0</v>
      </c>
      <c r="K16" s="137">
        <f>E16-J16</f>
        <v>0</v>
      </c>
    </row>
    <row r="17" spans="1:11" s="23" customFormat="1" x14ac:dyDescent="0.25">
      <c r="A17" s="104" t="s">
        <v>163</v>
      </c>
      <c r="B17" s="102"/>
      <c r="C17" s="102"/>
      <c r="D17" s="102"/>
      <c r="E17" s="58">
        <v>0</v>
      </c>
      <c r="F17" s="58">
        <v>20</v>
      </c>
      <c r="G17" s="137">
        <v>0</v>
      </c>
      <c r="H17" s="137">
        <v>0</v>
      </c>
      <c r="I17" s="137">
        <v>0</v>
      </c>
      <c r="J17" s="137">
        <v>0</v>
      </c>
      <c r="K17" s="137">
        <f>E17-J17</f>
        <v>0</v>
      </c>
    </row>
    <row r="18" spans="1:11" s="23" customFormat="1" x14ac:dyDescent="0.25">
      <c r="A18" s="104" t="s">
        <v>164</v>
      </c>
      <c r="B18" s="102"/>
      <c r="C18" s="102"/>
      <c r="D18" s="102"/>
      <c r="E18" s="58">
        <v>0</v>
      </c>
      <c r="F18" s="58">
        <v>10</v>
      </c>
      <c r="G18" s="137">
        <v>0</v>
      </c>
      <c r="H18" s="137">
        <v>0</v>
      </c>
      <c r="I18" s="137">
        <v>0</v>
      </c>
      <c r="J18" s="137">
        <v>0</v>
      </c>
      <c r="K18" s="137">
        <f>E18-J18</f>
        <v>0</v>
      </c>
    </row>
    <row r="19" spans="1:11" ht="14.25" x14ac:dyDescent="0.45">
      <c r="A19" s="105" t="s">
        <v>678</v>
      </c>
      <c r="B19" s="103"/>
      <c r="C19" s="103"/>
      <c r="D19" s="103"/>
      <c r="E19" s="52"/>
      <c r="F19" s="52"/>
      <c r="G19" s="52"/>
      <c r="H19" s="52"/>
      <c r="I19" s="52"/>
      <c r="J19" s="52"/>
      <c r="K19" s="52"/>
    </row>
    <row r="20" spans="1:11" x14ac:dyDescent="0.25">
      <c r="A20" s="37" t="s">
        <v>165</v>
      </c>
      <c r="B20" s="116"/>
      <c r="C20" s="116"/>
      <c r="D20" s="116"/>
      <c r="E20" s="59">
        <f>APP_T4+OTROS_T4</f>
        <v>0</v>
      </c>
      <c r="F20" s="116"/>
      <c r="G20" s="136">
        <f>APP_T6+OTROS_T6</f>
        <v>0</v>
      </c>
      <c r="H20" s="136">
        <f>APP_T7+OTROS_T7</f>
        <v>0</v>
      </c>
      <c r="I20" s="136">
        <f>APP_T8+OTROS_T8</f>
        <v>0</v>
      </c>
      <c r="J20" s="136">
        <f>APP_T9+OTROS_T9</f>
        <v>0</v>
      </c>
      <c r="K20" s="136">
        <f>APP_T10+OTROS_T10</f>
        <v>0</v>
      </c>
    </row>
    <row r="21" spans="1:11" ht="14.25" x14ac:dyDescent="0.45">
      <c r="A21" s="56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15748031496062992" right="0.15748031496062992" top="0.74803149606299213" bottom="0.74803149606299213" header="0.31496062992125984" footer="0.31496062992125984"/>
  <pageSetup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</cp:lastModifiedBy>
  <cp:lastPrinted>2021-02-04T18:46:08Z</cp:lastPrinted>
  <dcterms:created xsi:type="dcterms:W3CDTF">2017-01-19T17:59:06Z</dcterms:created>
  <dcterms:modified xsi:type="dcterms:W3CDTF">2021-02-04T19:16:39Z</dcterms:modified>
</cp:coreProperties>
</file>